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Monsters" sheetId="1" r:id="rId1"/>
    <sheet name="MonsterTreasure" sheetId="2" r:id="rId2"/>
    <sheet name="GemsJewelry" sheetId="3" r:id="rId3"/>
  </sheets>
  <definedNames/>
  <calcPr fullCalcOnLoad="1"/>
</workbook>
</file>

<file path=xl/sharedStrings.xml><?xml version="1.0" encoding="utf-8"?>
<sst xmlns="http://schemas.openxmlformats.org/spreadsheetml/2006/main" count="310" uniqueCount="138">
  <si>
    <t>B/X (Moldvay) MONSTER EXPECTED TREASURE</t>
  </si>
  <si>
    <t>Expected</t>
  </si>
  <si>
    <t>Ratio</t>
  </si>
  <si>
    <t>Monster</t>
  </si>
  <si>
    <t>Number</t>
  </si>
  <si>
    <t>AC</t>
  </si>
  <si>
    <t>MV</t>
  </si>
  <si>
    <t>HD</t>
  </si>
  <si>
    <t>Atk</t>
  </si>
  <si>
    <t>Dam</t>
  </si>
  <si>
    <t>Lair</t>
  </si>
  <si>
    <t>Treas</t>
  </si>
  <si>
    <t>XP</t>
  </si>
  <si>
    <t>Treasure</t>
  </si>
  <si>
    <t>Monster XP</t>
  </si>
  <si>
    <t>GP:XP</t>
  </si>
  <si>
    <t>Men</t>
  </si>
  <si>
    <t>3-30</t>
  </si>
  <si>
    <t>*</t>
  </si>
  <si>
    <t>A</t>
  </si>
  <si>
    <t>Kobolds</t>
  </si>
  <si>
    <t>6-60</t>
  </si>
  <si>
    <t>1/2</t>
  </si>
  <si>
    <t>J</t>
  </si>
  <si>
    <t>Goblins</t>
  </si>
  <si>
    <t>1-1</t>
  </si>
  <si>
    <t>C</t>
  </si>
  <si>
    <t>Orcs</t>
  </si>
  <si>
    <t>10-60</t>
  </si>
  <si>
    <t>1</t>
  </si>
  <si>
    <t>D</t>
  </si>
  <si>
    <t>Hobgoblins</t>
  </si>
  <si>
    <t>4-24</t>
  </si>
  <si>
    <t>1+1</t>
  </si>
  <si>
    <t>Gnolls</t>
  </si>
  <si>
    <t>3-18</t>
  </si>
  <si>
    <t>2</t>
  </si>
  <si>
    <t>Ogres</t>
  </si>
  <si>
    <t>2-12</t>
  </si>
  <si>
    <t>4+1</t>
  </si>
  <si>
    <t>1+2</t>
  </si>
  <si>
    <t>C+1kgp</t>
  </si>
  <si>
    <t>Trolls</t>
  </si>
  <si>
    <t>1-8</t>
  </si>
  <si>
    <t>6+3</t>
  </si>
  <si>
    <t>Giants</t>
  </si>
  <si>
    <t>2-8</t>
  </si>
  <si>
    <t>E+5kgp</t>
  </si>
  <si>
    <t>Skeletons</t>
  </si>
  <si>
    <t>-</t>
  </si>
  <si>
    <t>Zombies</t>
  </si>
  <si>
    <t>Ghouls</t>
  </si>
  <si>
    <t>2-16</t>
  </si>
  <si>
    <t>B</t>
  </si>
  <si>
    <t>Wights</t>
  </si>
  <si>
    <t>3</t>
  </si>
  <si>
    <t>Wraiths</t>
  </si>
  <si>
    <t>1-6</t>
  </si>
  <si>
    <t>12/24</t>
  </si>
  <si>
    <t>4</t>
  </si>
  <si>
    <t>E</t>
  </si>
  <si>
    <t>Mummies</t>
  </si>
  <si>
    <t>1-12</t>
  </si>
  <si>
    <t>6</t>
  </si>
  <si>
    <t>5</t>
  </si>
  <si>
    <t>Spectres</t>
  </si>
  <si>
    <t>15/30</t>
  </si>
  <si>
    <t>Vampires</t>
  </si>
  <si>
    <t>12/18</t>
  </si>
  <si>
    <t>7-9</t>
  </si>
  <si>
    <t>F</t>
  </si>
  <si>
    <t>Cockatrices</t>
  </si>
  <si>
    <t>9/18</t>
  </si>
  <si>
    <t>Basilisks</t>
  </si>
  <si>
    <t>6+1</t>
  </si>
  <si>
    <t>Medusae</t>
  </si>
  <si>
    <t>1-4</t>
  </si>
  <si>
    <t>9</t>
  </si>
  <si>
    <t>Gorgons</t>
  </si>
  <si>
    <t>12</t>
  </si>
  <si>
    <t>8</t>
  </si>
  <si>
    <t>Manticoras</t>
  </si>
  <si>
    <t>Hydras</t>
  </si>
  <si>
    <t>5-12</t>
  </si>
  <si>
    <t>1/hd</t>
  </si>
  <si>
    <t>Chimeras</t>
  </si>
  <si>
    <t>Wyverns</t>
  </si>
  <si>
    <t>9/24</t>
  </si>
  <si>
    <t>7</t>
  </si>
  <si>
    <t>Dragons</t>
  </si>
  <si>
    <t>2/1</t>
  </si>
  <si>
    <t>H</t>
  </si>
  <si>
    <t>Balrogs</t>
  </si>
  <si>
    <t>6/15</t>
  </si>
  <si>
    <t>Gargoyles</t>
  </si>
  <si>
    <t>9/15</t>
  </si>
  <si>
    <t>Lycanthropes</t>
  </si>
  <si>
    <t>Purple Worms</t>
  </si>
  <si>
    <t>15</t>
  </si>
  <si>
    <t>3/1</t>
  </si>
  <si>
    <t>Minotaurs</t>
  </si>
  <si>
    <t>Note: Large humanoid numbers greatly reduced from OD&amp;D; Lair% removed.</t>
  </si>
  <si>
    <t xml:space="preserve">  Otherwise numbers and treasure types basicaly identical to OD&amp;D.</t>
  </si>
  <si>
    <t>B/X (Moldvay) Expected Value of Monster Treasure</t>
  </si>
  <si>
    <t>Table Data</t>
  </si>
  <si>
    <t>Expected Value (gp)</t>
  </si>
  <si>
    <t>Type</t>
  </si>
  <si>
    <t>Copper</t>
  </si>
  <si>
    <t>Silver</t>
  </si>
  <si>
    <t>Electrum</t>
  </si>
  <si>
    <t>Gold</t>
  </si>
  <si>
    <t>Platinum</t>
  </si>
  <si>
    <t>Gem/Jew</t>
  </si>
  <si>
    <t>Gems</t>
  </si>
  <si>
    <t>Jewelry</t>
  </si>
  <si>
    <t>Total</t>
  </si>
  <si>
    <t>1-2</t>
  </si>
  <si>
    <t>6-36</t>
  </si>
  <si>
    <t>1-3</t>
  </si>
  <si>
    <t>1-10</t>
  </si>
  <si>
    <t>2-20</t>
  </si>
  <si>
    <t>2-24</t>
  </si>
  <si>
    <t>G</t>
  </si>
  <si>
    <t>10-40</t>
  </si>
  <si>
    <t>3-24</t>
  </si>
  <si>
    <t>1-100</t>
  </si>
  <si>
    <t>5-20</t>
  </si>
  <si>
    <t>I</t>
  </si>
  <si>
    <t>Notes: Basically identical to OD&amp;D for copper, silver, gold, gems/jewelry.</t>
  </si>
  <si>
    <t xml:space="preserve">  (Altered gold % for G, H; gem/jewelry number for type I.)</t>
  </si>
  <si>
    <t xml:space="preserve">  Columns for electrum &amp; platinum added newly. Type J for kobolds.</t>
  </si>
  <si>
    <t>B/X (Moldvay) Expected Value of Gems &amp; Jewelry</t>
  </si>
  <si>
    <t>Gems Base Value</t>
  </si>
  <si>
    <t>Roll</t>
  </si>
  <si>
    <t>Value</t>
  </si>
  <si>
    <t>Rate</t>
  </si>
  <si>
    <t>Product</t>
  </si>
  <si>
    <t>Gems Total Value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</si>
</sst>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@"/>
    <numFmt numFmtId="167" formatCode="0"/>
    <numFmt numFmtId="168" formatCode="0%"/>
    <numFmt numFmtId="169" formatCode="#,##0.0"/>
    <numFmt numFmtId="170" formatCode="0.0"/>
    <numFmt numFmtId="171" formatCode="0.00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1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"/>
    </sheetView>
  </sheetViews>
  <sheetFormatPr defaultColWidth="12.57421875" defaultRowHeight="11.25"/>
  <cols>
    <col min="1" max="1" width="11.28125" style="1" customWidth="1"/>
    <col min="2" max="2" width="8.140625" style="1" customWidth="1"/>
    <col min="3" max="3" width="4.140625" style="1" customWidth="1"/>
    <col min="4" max="4" width="5.7109375" style="1" customWidth="1"/>
    <col min="5" max="5" width="5.00390625" style="1" customWidth="1"/>
    <col min="6" max="6" width="4.8515625" style="1" customWidth="1"/>
    <col min="7" max="7" width="5.28125" style="1" customWidth="1"/>
    <col min="8" max="8" width="5.8515625" style="1" customWidth="1"/>
    <col min="9" max="9" width="7.00390625" style="1" customWidth="1"/>
    <col min="10" max="10" width="5.7109375" style="1" customWidth="1"/>
    <col min="11" max="11" width="3.28125" style="1" customWidth="1"/>
    <col min="12" max="12" width="9.140625" style="2" customWidth="1"/>
    <col min="13" max="13" width="11.00390625" style="2" customWidth="1"/>
    <col min="14" max="14" width="8.8515625" style="3" customWidth="1"/>
    <col min="15" max="15" width="6.421875" style="1" customWidth="1"/>
    <col min="16" max="16384" width="11.57421875" style="1" customWidth="1"/>
  </cols>
  <sheetData>
    <row r="1" spans="1:10" ht="10.5">
      <c r="A1" s="4" t="s">
        <v>0</v>
      </c>
      <c r="B1" s="5"/>
      <c r="C1" s="6"/>
      <c r="D1" s="6"/>
      <c r="E1" s="6"/>
      <c r="F1" s="6"/>
      <c r="G1" s="6"/>
      <c r="H1" s="7"/>
      <c r="I1" s="8"/>
      <c r="J1" s="8"/>
    </row>
    <row r="2" spans="2:15" ht="10.5">
      <c r="B2" s="5"/>
      <c r="C2" s="6"/>
      <c r="D2" s="6"/>
      <c r="E2" s="6"/>
      <c r="F2" s="6"/>
      <c r="G2" s="6"/>
      <c r="H2" s="7"/>
      <c r="I2" s="8"/>
      <c r="J2" s="8"/>
      <c r="L2" s="9" t="s">
        <v>1</v>
      </c>
      <c r="M2" s="9" t="s">
        <v>1</v>
      </c>
      <c r="N2" s="9" t="s">
        <v>2</v>
      </c>
      <c r="O2" s="10"/>
    </row>
    <row r="3" spans="1:15" ht="10.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5" t="s">
        <v>12</v>
      </c>
      <c r="L3" s="9" t="s">
        <v>13</v>
      </c>
      <c r="M3" s="9" t="s">
        <v>14</v>
      </c>
      <c r="N3" s="9" t="s">
        <v>15</v>
      </c>
      <c r="O3" s="10"/>
    </row>
    <row r="4" spans="1:15" ht="10.5">
      <c r="A4" s="16" t="s">
        <v>16</v>
      </c>
      <c r="B4" s="17" t="s">
        <v>17</v>
      </c>
      <c r="C4" s="18" t="s">
        <v>18</v>
      </c>
      <c r="D4" s="18" t="s">
        <v>18</v>
      </c>
      <c r="E4" s="18" t="s">
        <v>18</v>
      </c>
      <c r="F4" s="18">
        <v>1</v>
      </c>
      <c r="G4" s="18">
        <v>1</v>
      </c>
      <c r="H4" s="19">
        <v>1</v>
      </c>
      <c r="I4" s="20" t="s">
        <v>19</v>
      </c>
      <c r="J4" s="3">
        <v>10</v>
      </c>
      <c r="L4" s="2">
        <f>H4*LOOKUP(I4,MonsterTreasure!A$5:A$14,MonsterTreasure!W$5:W$14)</f>
        <v>17756</v>
      </c>
      <c r="M4" s="3">
        <f>RANGEAVG(B4)*J4</f>
        <v>165</v>
      </c>
      <c r="N4" s="21">
        <f>L4/M4</f>
        <v>107.61212121212121</v>
      </c>
      <c r="O4" s="22"/>
    </row>
    <row r="5" spans="1:15" ht="10.5">
      <c r="A5" s="1" t="s">
        <v>20</v>
      </c>
      <c r="B5" s="5" t="s">
        <v>21</v>
      </c>
      <c r="C5" s="6">
        <v>7</v>
      </c>
      <c r="D5" s="6">
        <v>6</v>
      </c>
      <c r="E5" s="6" t="s">
        <v>22</v>
      </c>
      <c r="F5" s="6">
        <v>1</v>
      </c>
      <c r="G5" s="6">
        <v>1</v>
      </c>
      <c r="H5" s="19">
        <v>1</v>
      </c>
      <c r="I5" s="8" t="s">
        <v>23</v>
      </c>
      <c r="J5" s="3">
        <v>5</v>
      </c>
      <c r="L5" s="2">
        <f>H5*LOOKUP(I5,MonsterTreasure!A$5:A$14,MonsterTreasure!W$5:W$14)</f>
        <v>26.25</v>
      </c>
      <c r="M5" s="3">
        <f>RANGEAVG(B5)*J5</f>
        <v>165</v>
      </c>
      <c r="N5" s="21">
        <f>L5/M5</f>
        <v>0.1590909090909091</v>
      </c>
      <c r="O5" s="22"/>
    </row>
    <row r="6" spans="1:15" ht="10.5">
      <c r="A6" s="1" t="s">
        <v>24</v>
      </c>
      <c r="B6" s="5" t="s">
        <v>21</v>
      </c>
      <c r="C6" s="6">
        <v>6</v>
      </c>
      <c r="D6" s="6">
        <v>6</v>
      </c>
      <c r="E6" s="6" t="s">
        <v>25</v>
      </c>
      <c r="F6" s="6">
        <v>1</v>
      </c>
      <c r="G6" s="6">
        <v>1</v>
      </c>
      <c r="H6" s="19">
        <v>1</v>
      </c>
      <c r="I6" s="8" t="s">
        <v>26</v>
      </c>
      <c r="J6" s="3">
        <v>5</v>
      </c>
      <c r="L6" s="2">
        <f>H6*LOOKUP(I6,MonsterTreasure!A$5:A$14,MonsterTreasure!W$5:W$14)</f>
        <v>990.8125</v>
      </c>
      <c r="M6" s="3">
        <f>RANGEAVG(B6)*J6</f>
        <v>165</v>
      </c>
      <c r="N6" s="21">
        <f>L6/M6</f>
        <v>6.004924242424242</v>
      </c>
      <c r="O6" s="22"/>
    </row>
    <row r="7" spans="1:15" ht="10.5">
      <c r="A7" s="1" t="s">
        <v>27</v>
      </c>
      <c r="B7" s="5" t="s">
        <v>28</v>
      </c>
      <c r="C7" s="6">
        <v>6</v>
      </c>
      <c r="D7" s="6">
        <v>9</v>
      </c>
      <c r="E7" s="6" t="s">
        <v>29</v>
      </c>
      <c r="F7" s="6">
        <v>1</v>
      </c>
      <c r="G7" s="6">
        <v>1</v>
      </c>
      <c r="H7" s="19">
        <v>1</v>
      </c>
      <c r="I7" s="8" t="s">
        <v>30</v>
      </c>
      <c r="J7" s="3">
        <v>10</v>
      </c>
      <c r="L7" s="2">
        <f>H7*LOOKUP(I7,MonsterTreasure!A$5:A$14,MonsterTreasure!W$5:W$14)</f>
        <v>3882.0750000000007</v>
      </c>
      <c r="M7" s="3">
        <f>RANGEAVG(B7)*J7</f>
        <v>350</v>
      </c>
      <c r="N7" s="21">
        <f>L7/M7</f>
        <v>11.09164285714286</v>
      </c>
      <c r="O7" s="22"/>
    </row>
    <row r="8" spans="1:15" ht="10.5">
      <c r="A8" s="1" t="s">
        <v>31</v>
      </c>
      <c r="B8" s="5" t="s">
        <v>32</v>
      </c>
      <c r="C8" s="6">
        <v>5</v>
      </c>
      <c r="D8" s="6">
        <v>9</v>
      </c>
      <c r="E8" s="6" t="s">
        <v>33</v>
      </c>
      <c r="F8" s="6">
        <v>1</v>
      </c>
      <c r="G8" s="6">
        <v>1</v>
      </c>
      <c r="H8" s="19">
        <v>1</v>
      </c>
      <c r="I8" s="8" t="s">
        <v>30</v>
      </c>
      <c r="J8" s="3">
        <v>15</v>
      </c>
      <c r="L8" s="2">
        <f>H8*LOOKUP(I8,MonsterTreasure!A$5:A$14,MonsterTreasure!W$5:W$14)</f>
        <v>3882.0750000000007</v>
      </c>
      <c r="M8" s="3">
        <f>RANGEAVG(B8)*J8</f>
        <v>210</v>
      </c>
      <c r="N8" s="21">
        <f>L8/M8</f>
        <v>18.48607142857143</v>
      </c>
      <c r="O8" s="22"/>
    </row>
    <row r="9" spans="1:15" ht="10.5">
      <c r="A9" s="1" t="s">
        <v>34</v>
      </c>
      <c r="B9" s="5" t="s">
        <v>35</v>
      </c>
      <c r="C9" s="6">
        <v>5</v>
      </c>
      <c r="D9" s="6">
        <v>9</v>
      </c>
      <c r="E9" s="6" t="s">
        <v>36</v>
      </c>
      <c r="F9" s="6">
        <v>1</v>
      </c>
      <c r="G9" s="6">
        <v>1</v>
      </c>
      <c r="H9" s="19">
        <v>1</v>
      </c>
      <c r="I9" s="8" t="s">
        <v>30</v>
      </c>
      <c r="J9" s="3">
        <v>20</v>
      </c>
      <c r="L9" s="2">
        <f>H9*LOOKUP(I9,MonsterTreasure!A$5:A$14,MonsterTreasure!W$5:W$14)</f>
        <v>3882.0750000000007</v>
      </c>
      <c r="M9" s="3">
        <f>RANGEAVG(B9)*J9</f>
        <v>210</v>
      </c>
      <c r="N9" s="21">
        <f>L9/M9</f>
        <v>18.48607142857143</v>
      </c>
      <c r="O9" s="22"/>
    </row>
    <row r="10" spans="1:15" ht="10.5">
      <c r="A10" s="1" t="s">
        <v>37</v>
      </c>
      <c r="B10" s="5" t="s">
        <v>38</v>
      </c>
      <c r="C10" s="6">
        <v>5</v>
      </c>
      <c r="D10" s="6">
        <v>9</v>
      </c>
      <c r="E10" s="6" t="s">
        <v>39</v>
      </c>
      <c r="F10" s="6">
        <v>1</v>
      </c>
      <c r="G10" s="6" t="s">
        <v>40</v>
      </c>
      <c r="H10" s="19">
        <v>1</v>
      </c>
      <c r="I10" s="8" t="s">
        <v>41</v>
      </c>
      <c r="J10" s="3">
        <v>125</v>
      </c>
      <c r="L10" s="2">
        <f>H10*LOOKUP(I10,MonsterTreasure!A$5:A$14,MonsterTreasure!W$5:W$14)+1000</f>
        <v>1990.8125</v>
      </c>
      <c r="M10" s="3">
        <f>RANGEAVG(B10)*J10</f>
        <v>875</v>
      </c>
      <c r="N10" s="21">
        <f>L10/M10</f>
        <v>2.2752142857142856</v>
      </c>
      <c r="O10" s="22"/>
    </row>
    <row r="11" spans="1:15" ht="10.5">
      <c r="A11" s="1" t="s">
        <v>42</v>
      </c>
      <c r="B11" s="5" t="s">
        <v>43</v>
      </c>
      <c r="C11" s="6">
        <v>4</v>
      </c>
      <c r="D11" s="6">
        <v>12</v>
      </c>
      <c r="E11" s="6" t="s">
        <v>44</v>
      </c>
      <c r="F11" s="6" t="s">
        <v>36</v>
      </c>
      <c r="G11" s="6">
        <v>1</v>
      </c>
      <c r="H11" s="19">
        <v>1</v>
      </c>
      <c r="I11" s="8" t="s">
        <v>30</v>
      </c>
      <c r="J11" s="3">
        <v>650</v>
      </c>
      <c r="L11" s="2">
        <f>H11*LOOKUP(I11,MonsterTreasure!A$5:A$14,MonsterTreasure!W$5:W$14)</f>
        <v>3882.0750000000007</v>
      </c>
      <c r="M11" s="3">
        <f>RANGEAVG(B11)*J11</f>
        <v>2925</v>
      </c>
      <c r="N11" s="21">
        <f>L11/M11</f>
        <v>1.3272051282051285</v>
      </c>
      <c r="O11" s="22"/>
    </row>
    <row r="12" spans="1:15" ht="10.5">
      <c r="A12" s="16" t="s">
        <v>45</v>
      </c>
      <c r="B12" s="17" t="s">
        <v>46</v>
      </c>
      <c r="C12" s="18">
        <v>4</v>
      </c>
      <c r="D12" s="18">
        <v>12</v>
      </c>
      <c r="E12" s="18" t="s">
        <v>18</v>
      </c>
      <c r="F12" s="18">
        <v>1</v>
      </c>
      <c r="G12" s="18" t="s">
        <v>18</v>
      </c>
      <c r="H12" s="19">
        <v>1</v>
      </c>
      <c r="I12" s="20" t="s">
        <v>47</v>
      </c>
      <c r="J12" s="23">
        <v>650</v>
      </c>
      <c r="L12" s="2">
        <f>H12*LOOKUP(I12,MonsterTreasure!A$5:A$14,MonsterTreasure!W$5:W$14)+5000</f>
        <v>7319.725</v>
      </c>
      <c r="M12" s="3">
        <f>RANGEAVG(B12)*J12</f>
        <v>3250</v>
      </c>
      <c r="N12" s="21">
        <f>L12/M12</f>
        <v>2.252223076923077</v>
      </c>
      <c r="O12" s="22"/>
    </row>
    <row r="13" spans="1:15" ht="10.5">
      <c r="A13" s="16" t="s">
        <v>48</v>
      </c>
      <c r="B13" s="17" t="s">
        <v>17</v>
      </c>
      <c r="C13" s="18">
        <v>7</v>
      </c>
      <c r="D13" s="18">
        <v>6</v>
      </c>
      <c r="E13" s="18">
        <v>1</v>
      </c>
      <c r="F13" s="18">
        <v>1</v>
      </c>
      <c r="G13" s="18">
        <v>1</v>
      </c>
      <c r="H13" s="19">
        <v>1</v>
      </c>
      <c r="I13" s="20" t="s">
        <v>49</v>
      </c>
      <c r="J13" s="3">
        <v>10</v>
      </c>
      <c r="L13" s="2">
        <v>0</v>
      </c>
      <c r="M13" s="3">
        <f>RANGEAVG(B13)*J13</f>
        <v>165</v>
      </c>
      <c r="N13" s="21">
        <f>L13/M13</f>
        <v>0</v>
      </c>
      <c r="O13" s="22"/>
    </row>
    <row r="14" spans="1:15" ht="10.5">
      <c r="A14" s="1" t="s">
        <v>50</v>
      </c>
      <c r="B14" s="5" t="s">
        <v>32</v>
      </c>
      <c r="C14" s="6">
        <v>8</v>
      </c>
      <c r="D14" s="6">
        <v>6</v>
      </c>
      <c r="E14" s="6">
        <v>2</v>
      </c>
      <c r="F14" s="6">
        <v>1</v>
      </c>
      <c r="G14" s="6">
        <v>1</v>
      </c>
      <c r="H14" s="19">
        <v>1</v>
      </c>
      <c r="I14" s="8" t="s">
        <v>49</v>
      </c>
      <c r="J14" s="3">
        <v>20</v>
      </c>
      <c r="L14" s="2">
        <v>0</v>
      </c>
      <c r="M14" s="3">
        <f>RANGEAVG(B14)*J14</f>
        <v>280</v>
      </c>
      <c r="N14" s="21">
        <f>L14/M14</f>
        <v>0</v>
      </c>
      <c r="O14" s="22"/>
    </row>
    <row r="15" spans="1:15" ht="10.5">
      <c r="A15" s="1" t="s">
        <v>51</v>
      </c>
      <c r="B15" s="5" t="s">
        <v>52</v>
      </c>
      <c r="C15" s="6">
        <v>6</v>
      </c>
      <c r="D15" s="6">
        <v>9</v>
      </c>
      <c r="E15" s="6" t="s">
        <v>36</v>
      </c>
      <c r="F15" s="6" t="s">
        <v>29</v>
      </c>
      <c r="G15" s="6">
        <v>1</v>
      </c>
      <c r="H15" s="19">
        <v>1</v>
      </c>
      <c r="I15" s="8" t="s">
        <v>53</v>
      </c>
      <c r="J15" s="3">
        <v>30</v>
      </c>
      <c r="L15" s="2">
        <f>H15*LOOKUP(I15,MonsterTreasure!A$5:A$14,MonsterTreasure!W$5:W$14)</f>
        <v>2011.4375</v>
      </c>
      <c r="M15" s="3">
        <f>RANGEAVG(B15)*J15</f>
        <v>270</v>
      </c>
      <c r="N15" s="21">
        <f>L15/M15</f>
        <v>7.4497685185185185</v>
      </c>
      <c r="O15" s="22"/>
    </row>
    <row r="16" spans="1:15" ht="10.5">
      <c r="A16" s="1" t="s">
        <v>54</v>
      </c>
      <c r="B16" s="5" t="s">
        <v>43</v>
      </c>
      <c r="C16" s="6">
        <v>5</v>
      </c>
      <c r="D16" s="6">
        <v>9</v>
      </c>
      <c r="E16" s="6" t="s">
        <v>55</v>
      </c>
      <c r="F16" s="6">
        <v>1</v>
      </c>
      <c r="G16" s="6">
        <v>1</v>
      </c>
      <c r="H16" s="19">
        <v>1</v>
      </c>
      <c r="I16" s="8" t="s">
        <v>53</v>
      </c>
      <c r="J16" s="3">
        <v>65</v>
      </c>
      <c r="L16" s="2">
        <f>H16*LOOKUP(I16,MonsterTreasure!A$5:A$14,MonsterTreasure!W$5:W$14)</f>
        <v>2011.4375</v>
      </c>
      <c r="M16" s="3">
        <f>RANGEAVG(B16)*J16</f>
        <v>292.5</v>
      </c>
      <c r="N16" s="21">
        <f>L16/M16</f>
        <v>6.876709401709402</v>
      </c>
      <c r="O16" s="22"/>
    </row>
    <row r="17" spans="1:15" ht="10.5">
      <c r="A17" s="1" t="s">
        <v>56</v>
      </c>
      <c r="B17" s="5" t="s">
        <v>57</v>
      </c>
      <c r="C17" s="6">
        <v>3</v>
      </c>
      <c r="D17" s="6" t="s">
        <v>58</v>
      </c>
      <c r="E17" s="6" t="s">
        <v>59</v>
      </c>
      <c r="F17" s="6">
        <v>1</v>
      </c>
      <c r="G17" s="6">
        <v>1</v>
      </c>
      <c r="H17" s="19">
        <v>1</v>
      </c>
      <c r="I17" s="8" t="s">
        <v>60</v>
      </c>
      <c r="J17" s="3">
        <v>175</v>
      </c>
      <c r="L17" s="2">
        <f>H17*LOOKUP(I17,MonsterTreasure!A$5:A$14,MonsterTreasure!W$5:W$14)</f>
        <v>2319.725</v>
      </c>
      <c r="M17" s="3">
        <f>RANGEAVG(B17)*J17</f>
        <v>612.5</v>
      </c>
      <c r="N17" s="21">
        <f>L17/M17</f>
        <v>3.7873061224489795</v>
      </c>
      <c r="O17" s="22"/>
    </row>
    <row r="18" spans="1:15" ht="10.5">
      <c r="A18" s="1" t="s">
        <v>61</v>
      </c>
      <c r="B18" s="5" t="s">
        <v>62</v>
      </c>
      <c r="C18" s="6">
        <v>3</v>
      </c>
      <c r="D18" s="6" t="s">
        <v>63</v>
      </c>
      <c r="E18" s="6" t="s">
        <v>64</v>
      </c>
      <c r="F18" s="6">
        <v>1</v>
      </c>
      <c r="G18" s="6">
        <v>1</v>
      </c>
      <c r="H18" s="19">
        <v>1</v>
      </c>
      <c r="I18" s="8" t="s">
        <v>30</v>
      </c>
      <c r="J18" s="3">
        <v>425</v>
      </c>
      <c r="L18" s="2">
        <f>H18*LOOKUP(I18,MonsterTreasure!A$5:A$14,MonsterTreasure!W$5:W$14)</f>
        <v>3882.0750000000007</v>
      </c>
      <c r="M18" s="3">
        <f>RANGEAVG(B18)*J18</f>
        <v>2762.5</v>
      </c>
      <c r="N18" s="21">
        <f>L18/M18</f>
        <v>1.4052760180995478</v>
      </c>
      <c r="O18" s="22"/>
    </row>
    <row r="19" spans="1:15" ht="10.5">
      <c r="A19" s="1" t="s">
        <v>65</v>
      </c>
      <c r="B19" s="5" t="s">
        <v>43</v>
      </c>
      <c r="C19" s="6">
        <v>2</v>
      </c>
      <c r="D19" s="6" t="s">
        <v>66</v>
      </c>
      <c r="E19" s="6" t="s">
        <v>63</v>
      </c>
      <c r="F19" s="6">
        <v>1</v>
      </c>
      <c r="G19" s="6">
        <v>1</v>
      </c>
      <c r="H19" s="19">
        <v>1</v>
      </c>
      <c r="I19" s="8" t="s">
        <v>60</v>
      </c>
      <c r="J19" s="3">
        <v>725</v>
      </c>
      <c r="L19" s="2">
        <f>H19*LOOKUP(I19,MonsterTreasure!A$5:A$14,MonsterTreasure!W$5:W$14)</f>
        <v>2319.725</v>
      </c>
      <c r="M19" s="3">
        <f>RANGEAVG(B19)*J19</f>
        <v>3262.5</v>
      </c>
      <c r="N19" s="21">
        <f>L19/M19</f>
        <v>0.7110268199233716</v>
      </c>
      <c r="O19" s="22"/>
    </row>
    <row r="20" spans="1:15" ht="10.5">
      <c r="A20" s="1" t="s">
        <v>67</v>
      </c>
      <c r="B20" s="5" t="s">
        <v>57</v>
      </c>
      <c r="C20" s="6">
        <v>2</v>
      </c>
      <c r="D20" s="6" t="s">
        <v>68</v>
      </c>
      <c r="E20" s="6" t="s">
        <v>69</v>
      </c>
      <c r="F20" s="6">
        <v>1</v>
      </c>
      <c r="G20" s="6">
        <v>1</v>
      </c>
      <c r="H20" s="19">
        <v>1</v>
      </c>
      <c r="I20" s="8" t="s">
        <v>70</v>
      </c>
      <c r="J20" s="3">
        <v>1750</v>
      </c>
      <c r="L20" s="2">
        <f>H20*LOOKUP(I20,MonsterTreasure!A$5:A$14,MonsterTreasure!W$5:W$14)</f>
        <v>9720.7</v>
      </c>
      <c r="M20" s="3">
        <f>RANGEAVG(B20)*J20</f>
        <v>6125</v>
      </c>
      <c r="N20" s="21">
        <f>L20/M20</f>
        <v>1.58705306122449</v>
      </c>
      <c r="O20" s="22"/>
    </row>
    <row r="21" spans="1:15" ht="10.5">
      <c r="A21" s="16" t="s">
        <v>71</v>
      </c>
      <c r="B21" s="17" t="s">
        <v>43</v>
      </c>
      <c r="C21" s="18">
        <v>6</v>
      </c>
      <c r="D21" s="18" t="s">
        <v>72</v>
      </c>
      <c r="E21" s="18" t="s">
        <v>64</v>
      </c>
      <c r="F21" s="18">
        <v>1</v>
      </c>
      <c r="G21" s="18">
        <v>1</v>
      </c>
      <c r="H21" s="19">
        <v>1</v>
      </c>
      <c r="I21" s="20" t="s">
        <v>30</v>
      </c>
      <c r="J21" s="3">
        <v>300</v>
      </c>
      <c r="L21" s="2">
        <f>H21*LOOKUP(I21,MonsterTreasure!A$5:A$14,MonsterTreasure!W$5:W$14)</f>
        <v>3882.0750000000007</v>
      </c>
      <c r="M21" s="3">
        <f>RANGEAVG(B21)*J21</f>
        <v>1350</v>
      </c>
      <c r="N21" s="21">
        <f>L21/M21</f>
        <v>2.8756111111111116</v>
      </c>
      <c r="O21" s="22"/>
    </row>
    <row r="22" spans="1:15" ht="10.5">
      <c r="A22" s="1" t="s">
        <v>73</v>
      </c>
      <c r="B22" s="5" t="s">
        <v>57</v>
      </c>
      <c r="C22" s="6">
        <v>4</v>
      </c>
      <c r="D22" s="6" t="s">
        <v>63</v>
      </c>
      <c r="E22" s="6" t="s">
        <v>74</v>
      </c>
      <c r="F22" s="6">
        <v>1</v>
      </c>
      <c r="G22" s="6">
        <v>1</v>
      </c>
      <c r="H22" s="19">
        <v>1</v>
      </c>
      <c r="I22" s="8" t="s">
        <v>70</v>
      </c>
      <c r="J22" s="3">
        <v>650</v>
      </c>
      <c r="L22" s="2">
        <f>H22*LOOKUP(I22,MonsterTreasure!A$5:A$14,MonsterTreasure!W$5:W$14)</f>
        <v>9720.7</v>
      </c>
      <c r="M22" s="3">
        <f>RANGEAVG(B22)*J22</f>
        <v>2275</v>
      </c>
      <c r="N22" s="21">
        <f>L22/M22</f>
        <v>4.272835164835165</v>
      </c>
      <c r="O22" s="22"/>
    </row>
    <row r="23" spans="1:15" ht="10.5">
      <c r="A23" s="1" t="s">
        <v>75</v>
      </c>
      <c r="B23" s="5" t="s">
        <v>76</v>
      </c>
      <c r="C23" s="6">
        <v>8</v>
      </c>
      <c r="D23" s="6" t="s">
        <v>77</v>
      </c>
      <c r="E23" s="6" t="s">
        <v>59</v>
      </c>
      <c r="F23" s="6">
        <v>2</v>
      </c>
      <c r="G23" s="6">
        <v>1</v>
      </c>
      <c r="H23" s="19">
        <v>1</v>
      </c>
      <c r="I23" s="8" t="s">
        <v>70</v>
      </c>
      <c r="J23" s="3">
        <v>175</v>
      </c>
      <c r="L23" s="2">
        <f>H23*LOOKUP(I23,MonsterTreasure!A$5:A$14,MonsterTreasure!W$5:W$14)</f>
        <v>9720.7</v>
      </c>
      <c r="M23" s="3">
        <f>RANGEAVG(B23)*J23</f>
        <v>437.5</v>
      </c>
      <c r="N23" s="21">
        <f>L23/M23</f>
        <v>22.21874285714286</v>
      </c>
      <c r="O23" s="22"/>
    </row>
    <row r="24" spans="1:15" ht="10.5">
      <c r="A24" s="1" t="s">
        <v>78</v>
      </c>
      <c r="B24" s="5" t="s">
        <v>76</v>
      </c>
      <c r="C24" s="6">
        <v>2</v>
      </c>
      <c r="D24" s="6" t="s">
        <v>79</v>
      </c>
      <c r="E24" s="6" t="s">
        <v>80</v>
      </c>
      <c r="F24" s="6">
        <v>1</v>
      </c>
      <c r="G24" s="6">
        <v>2</v>
      </c>
      <c r="H24" s="19">
        <v>1</v>
      </c>
      <c r="I24" s="8" t="s">
        <v>60</v>
      </c>
      <c r="J24" s="3">
        <v>1750</v>
      </c>
      <c r="L24" s="2">
        <f>H24*LOOKUP(I24,MonsterTreasure!A$5:A$14,MonsterTreasure!W$5:W$14)</f>
        <v>2319.725</v>
      </c>
      <c r="M24" s="3">
        <f>RANGEAVG(B24)*J24</f>
        <v>4375</v>
      </c>
      <c r="N24" s="21">
        <f>L24/M24</f>
        <v>0.5302228571428571</v>
      </c>
      <c r="O24" s="22"/>
    </row>
    <row r="25" spans="1:15" ht="10.5">
      <c r="A25" s="1" t="s">
        <v>81</v>
      </c>
      <c r="B25" s="5" t="s">
        <v>76</v>
      </c>
      <c r="C25" s="6">
        <v>4</v>
      </c>
      <c r="D25" s="6" t="s">
        <v>68</v>
      </c>
      <c r="E25" s="6" t="s">
        <v>74</v>
      </c>
      <c r="F25" s="6" t="s">
        <v>55</v>
      </c>
      <c r="G25" s="6">
        <v>1</v>
      </c>
      <c r="H25" s="19">
        <v>1</v>
      </c>
      <c r="I25" s="8" t="s">
        <v>30</v>
      </c>
      <c r="J25" s="3">
        <v>650</v>
      </c>
      <c r="L25" s="2">
        <f>H25*LOOKUP(I25,MonsterTreasure!A$5:A$14,MonsterTreasure!W$5:W$14)</f>
        <v>3882.0750000000007</v>
      </c>
      <c r="M25" s="3">
        <f>RANGEAVG(B25)*J25</f>
        <v>1625</v>
      </c>
      <c r="N25" s="21">
        <f>L25/M25</f>
        <v>2.388969230769231</v>
      </c>
      <c r="O25" s="22"/>
    </row>
    <row r="26" spans="1:15" ht="10.5">
      <c r="A26" s="1" t="s">
        <v>82</v>
      </c>
      <c r="B26" s="5" t="s">
        <v>29</v>
      </c>
      <c r="C26" s="6">
        <v>5</v>
      </c>
      <c r="D26" s="6" t="s">
        <v>79</v>
      </c>
      <c r="E26" s="6" t="s">
        <v>83</v>
      </c>
      <c r="F26" s="6" t="s">
        <v>84</v>
      </c>
      <c r="G26" s="6">
        <v>1</v>
      </c>
      <c r="H26" s="19">
        <v>1</v>
      </c>
      <c r="I26" s="8" t="s">
        <v>53</v>
      </c>
      <c r="J26" s="3">
        <v>1200</v>
      </c>
      <c r="L26" s="2">
        <f>H26*LOOKUP(I26,MonsterTreasure!A$5:A$14,MonsterTreasure!W$5:W$14)</f>
        <v>2011.4375</v>
      </c>
      <c r="M26" s="3">
        <f>RANGEAVG(B26)*J26</f>
        <v>1200</v>
      </c>
      <c r="N26" s="21">
        <f>L26/M26</f>
        <v>1.6761979166666667</v>
      </c>
      <c r="O26" s="22"/>
    </row>
    <row r="27" spans="1:15" ht="10.5">
      <c r="A27" s="1" t="s">
        <v>85</v>
      </c>
      <c r="B27" s="5" t="s">
        <v>76</v>
      </c>
      <c r="C27" s="6">
        <v>4</v>
      </c>
      <c r="D27" s="6" t="s">
        <v>68</v>
      </c>
      <c r="E27" s="6" t="s">
        <v>77</v>
      </c>
      <c r="F27" s="6" t="s">
        <v>59</v>
      </c>
      <c r="G27" s="6">
        <v>1</v>
      </c>
      <c r="H27" s="19">
        <v>1</v>
      </c>
      <c r="I27" s="8" t="s">
        <v>70</v>
      </c>
      <c r="J27" s="3">
        <v>1600</v>
      </c>
      <c r="L27" s="2">
        <f>H27*LOOKUP(I27,MonsterTreasure!A$5:A$14,MonsterTreasure!W$5:W$14)</f>
        <v>9720.7</v>
      </c>
      <c r="M27" s="3">
        <f>RANGEAVG(B27)*J27</f>
        <v>4000</v>
      </c>
      <c r="N27" s="21">
        <f>L27/M27</f>
        <v>2.430175</v>
      </c>
      <c r="O27" s="22"/>
    </row>
    <row r="28" spans="1:15" ht="10.5">
      <c r="A28" s="1" t="s">
        <v>86</v>
      </c>
      <c r="B28" s="5" t="s">
        <v>57</v>
      </c>
      <c r="C28" s="6">
        <v>3</v>
      </c>
      <c r="D28" s="6" t="s">
        <v>87</v>
      </c>
      <c r="E28" s="6" t="s">
        <v>88</v>
      </c>
      <c r="F28" s="6" t="s">
        <v>36</v>
      </c>
      <c r="G28" s="6">
        <v>1</v>
      </c>
      <c r="H28" s="19">
        <v>1</v>
      </c>
      <c r="I28" s="8" t="s">
        <v>60</v>
      </c>
      <c r="J28" s="3">
        <v>850</v>
      </c>
      <c r="L28" s="2">
        <f>H28*LOOKUP(I28,MonsterTreasure!A$5:A$14,MonsterTreasure!W$5:W$14)</f>
        <v>2319.725</v>
      </c>
      <c r="M28" s="3">
        <f>RANGEAVG(B28)*J28</f>
        <v>2975</v>
      </c>
      <c r="N28" s="21">
        <f>L28/M28</f>
        <v>0.7797394957983192</v>
      </c>
      <c r="O28" s="22"/>
    </row>
    <row r="29" spans="1:15" ht="10.5">
      <c r="A29" s="1" t="s">
        <v>89</v>
      </c>
      <c r="B29" s="5" t="s">
        <v>76</v>
      </c>
      <c r="C29" s="6">
        <v>2</v>
      </c>
      <c r="D29" s="6" t="s">
        <v>87</v>
      </c>
      <c r="E29" s="6" t="s">
        <v>18</v>
      </c>
      <c r="F29" s="6" t="s">
        <v>36</v>
      </c>
      <c r="G29" s="6" t="s">
        <v>90</v>
      </c>
      <c r="H29" s="19">
        <v>1</v>
      </c>
      <c r="I29" s="8" t="s">
        <v>91</v>
      </c>
      <c r="J29" s="3">
        <v>2300</v>
      </c>
      <c r="L29" s="2">
        <f>H29*LOOKUP(I29,MonsterTreasure!A$5:A$14,MonsterTreasure!W$5:W$14)</f>
        <v>57490</v>
      </c>
      <c r="M29" s="3">
        <f>RANGEAVG(B29)*J29</f>
        <v>5750</v>
      </c>
      <c r="N29" s="21">
        <f>L29/M29</f>
        <v>9.998260869565218</v>
      </c>
      <c r="O29" s="22"/>
    </row>
    <row r="30" spans="1:15" ht="10.5">
      <c r="A30" s="1" t="s">
        <v>92</v>
      </c>
      <c r="B30" s="5" t="s">
        <v>57</v>
      </c>
      <c r="C30" s="6">
        <v>2</v>
      </c>
      <c r="D30" s="5" t="s">
        <v>93</v>
      </c>
      <c r="E30" s="6">
        <v>10</v>
      </c>
      <c r="F30" s="6">
        <v>2</v>
      </c>
      <c r="G30" s="6">
        <v>2</v>
      </c>
      <c r="H30" s="19">
        <v>1</v>
      </c>
      <c r="I30" s="8" t="s">
        <v>70</v>
      </c>
      <c r="J30" s="3">
        <v>2300</v>
      </c>
      <c r="L30" s="2">
        <f>H30*LOOKUP(I30,MonsterTreasure!A$5:A$14,MonsterTreasure!W$5:W$14)</f>
        <v>9720.7</v>
      </c>
      <c r="M30" s="3">
        <f>RANGEAVG(B30)*J30</f>
        <v>8050</v>
      </c>
      <c r="N30" s="21">
        <f>L30/M30</f>
        <v>1.2075403726708076</v>
      </c>
      <c r="O30" s="22"/>
    </row>
    <row r="31" spans="1:15" ht="10.5">
      <c r="A31" s="1" t="s">
        <v>94</v>
      </c>
      <c r="B31" s="5" t="s">
        <v>46</v>
      </c>
      <c r="C31" s="6">
        <v>5</v>
      </c>
      <c r="D31" s="6" t="s">
        <v>95</v>
      </c>
      <c r="E31" s="6" t="s">
        <v>59</v>
      </c>
      <c r="F31" s="6" t="s">
        <v>36</v>
      </c>
      <c r="G31" s="6">
        <v>1</v>
      </c>
      <c r="H31" s="19">
        <v>1</v>
      </c>
      <c r="I31" s="8" t="s">
        <v>26</v>
      </c>
      <c r="J31" s="3">
        <v>125</v>
      </c>
      <c r="L31" s="2">
        <f>H31*LOOKUP(I31,MonsterTreasure!A$5:A$14,MonsterTreasure!W$5:W$14)</f>
        <v>990.8125</v>
      </c>
      <c r="M31" s="3">
        <f>RANGEAVG(B31)*J31</f>
        <v>625</v>
      </c>
      <c r="N31" s="21">
        <f>L31/M31</f>
        <v>1.5853</v>
      </c>
      <c r="O31" s="22"/>
    </row>
    <row r="32" spans="1:15" ht="10.5">
      <c r="A32" s="1" t="s">
        <v>96</v>
      </c>
      <c r="B32" s="5" t="s">
        <v>38</v>
      </c>
      <c r="C32" s="6" t="s">
        <v>18</v>
      </c>
      <c r="D32" s="6" t="s">
        <v>18</v>
      </c>
      <c r="E32" s="6" t="s">
        <v>18</v>
      </c>
      <c r="F32" s="6" t="s">
        <v>18</v>
      </c>
      <c r="G32" s="6">
        <v>1</v>
      </c>
      <c r="H32" s="19">
        <v>1</v>
      </c>
      <c r="I32" s="8" t="s">
        <v>26</v>
      </c>
      <c r="J32" s="3">
        <v>125</v>
      </c>
      <c r="L32" s="2">
        <f>H32*LOOKUP(I32,MonsterTreasure!A$5:A$14,MonsterTreasure!W$5:W$14)</f>
        <v>990.8125</v>
      </c>
      <c r="M32" s="3">
        <f>RANGEAVG(B32)*J32</f>
        <v>875</v>
      </c>
      <c r="N32" s="21">
        <f>L32/M32</f>
        <v>1.1323571428571428</v>
      </c>
      <c r="O32" s="22"/>
    </row>
    <row r="33" spans="1:15" ht="10.5">
      <c r="A33" s="1" t="s">
        <v>97</v>
      </c>
      <c r="B33" s="5" t="s">
        <v>76</v>
      </c>
      <c r="C33" s="6">
        <v>6</v>
      </c>
      <c r="D33" s="6">
        <v>6</v>
      </c>
      <c r="E33" s="6" t="s">
        <v>98</v>
      </c>
      <c r="F33" s="6" t="s">
        <v>36</v>
      </c>
      <c r="G33" s="6" t="s">
        <v>99</v>
      </c>
      <c r="H33" s="19">
        <v>1</v>
      </c>
      <c r="I33" s="8" t="s">
        <v>30</v>
      </c>
      <c r="J33" s="3">
        <v>2800</v>
      </c>
      <c r="L33" s="2">
        <f>H33*LOOKUP(I33,MonsterTreasure!A$5:A$14,MonsterTreasure!W$5:W$14)</f>
        <v>3882.0750000000007</v>
      </c>
      <c r="M33" s="3">
        <f>RANGEAVG(B33)*J33</f>
        <v>7000</v>
      </c>
      <c r="N33" s="21">
        <f>L33/M33</f>
        <v>0.5545821428571429</v>
      </c>
      <c r="O33" s="22"/>
    </row>
    <row r="34" spans="1:15" ht="10.5">
      <c r="A34" s="1" t="s">
        <v>100</v>
      </c>
      <c r="B34" s="5" t="s">
        <v>43</v>
      </c>
      <c r="C34" s="6">
        <v>6</v>
      </c>
      <c r="D34" s="6" t="s">
        <v>79</v>
      </c>
      <c r="E34" s="6" t="s">
        <v>63</v>
      </c>
      <c r="F34" s="6" t="s">
        <v>36</v>
      </c>
      <c r="G34" s="6">
        <v>1</v>
      </c>
      <c r="H34" s="19">
        <v>1</v>
      </c>
      <c r="I34" s="8" t="s">
        <v>26</v>
      </c>
      <c r="J34" s="3">
        <v>275</v>
      </c>
      <c r="L34" s="2">
        <f>H34*LOOKUP(I34,MonsterTreasure!A$5:A$14,MonsterTreasure!W$5:W$14)</f>
        <v>990.8125</v>
      </c>
      <c r="M34" s="3">
        <f>RANGEAVG(B34)*J34</f>
        <v>1237.5</v>
      </c>
      <c r="N34" s="21">
        <f>L34/M34</f>
        <v>0.8006565656565656</v>
      </c>
      <c r="O34" s="22"/>
    </row>
    <row r="36" spans="12:14" ht="10.5">
      <c r="L36" s="2">
        <f>SUM(L4:L34)</f>
        <v>183519.35000000003</v>
      </c>
      <c r="M36" s="2">
        <f>SUM(M4:M34)</f>
        <v>63860</v>
      </c>
      <c r="N36" s="21">
        <f>L36/M36</f>
        <v>2.8737762292514883</v>
      </c>
    </row>
    <row r="38" ht="10.5">
      <c r="A38" s="24" t="s">
        <v>101</v>
      </c>
    </row>
    <row r="39" ht="10.5">
      <c r="A39" s="24" t="s">
        <v>102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1" sqref="A1"/>
    </sheetView>
  </sheetViews>
  <sheetFormatPr defaultColWidth="12.57421875" defaultRowHeight="11.25"/>
  <cols>
    <col min="1" max="1" width="6.28125" style="25" customWidth="1"/>
    <col min="2" max="2" width="5.421875" style="26" customWidth="1"/>
    <col min="3" max="3" width="5.57421875" style="26" customWidth="1"/>
    <col min="4" max="4" width="6.421875" style="26" customWidth="1"/>
    <col min="5" max="5" width="5.57421875" style="26" customWidth="1"/>
    <col min="6" max="8" width="6.421875" style="26" customWidth="1"/>
    <col min="9" max="9" width="5.57421875" style="26" customWidth="1"/>
    <col min="10" max="12" width="6.421875" style="26" customWidth="1"/>
    <col min="13" max="13" width="5.57421875" style="26" customWidth="1"/>
    <col min="14" max="14" width="3.140625" style="25" customWidth="1"/>
    <col min="15" max="21" width="9.140625" style="25" customWidth="1"/>
    <col min="22" max="22" width="3.28125" style="25" customWidth="1"/>
    <col min="23" max="23" width="7.421875" style="27" customWidth="1"/>
    <col min="24" max="16384" width="11.57421875" style="25" customWidth="1"/>
  </cols>
  <sheetData>
    <row r="1" ht="11.25">
      <c r="A1" s="28" t="s">
        <v>103</v>
      </c>
    </row>
    <row r="3" spans="2:21" ht="11.25">
      <c r="B3" s="29" t="s">
        <v>104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30" t="s">
        <v>105</v>
      </c>
      <c r="P3" s="30"/>
      <c r="Q3" s="30"/>
      <c r="R3" s="30"/>
      <c r="S3" s="30"/>
      <c r="T3" s="30"/>
      <c r="U3" s="30"/>
    </row>
    <row r="4" spans="1:23" ht="11.25">
      <c r="A4" s="31" t="s">
        <v>106</v>
      </c>
      <c r="B4" s="29" t="s">
        <v>107</v>
      </c>
      <c r="C4" s="29"/>
      <c r="D4" s="29" t="s">
        <v>108</v>
      </c>
      <c r="E4" s="29"/>
      <c r="F4" s="29" t="s">
        <v>109</v>
      </c>
      <c r="G4" s="29"/>
      <c r="H4" s="29" t="s">
        <v>110</v>
      </c>
      <c r="I4" s="29"/>
      <c r="J4" s="29" t="s">
        <v>111</v>
      </c>
      <c r="K4" s="29"/>
      <c r="L4" s="29" t="s">
        <v>112</v>
      </c>
      <c r="M4" s="29"/>
      <c r="O4" s="32" t="s">
        <v>107</v>
      </c>
      <c r="P4" s="32" t="s">
        <v>108</v>
      </c>
      <c r="Q4" s="32" t="s">
        <v>109</v>
      </c>
      <c r="R4" s="32" t="s">
        <v>110</v>
      </c>
      <c r="S4" s="32" t="s">
        <v>111</v>
      </c>
      <c r="T4" s="32" t="s">
        <v>113</v>
      </c>
      <c r="U4" s="32" t="s">
        <v>114</v>
      </c>
      <c r="W4" s="31" t="s">
        <v>115</v>
      </c>
    </row>
    <row r="5" spans="1:23" ht="11.25">
      <c r="A5" s="33" t="s">
        <v>19</v>
      </c>
      <c r="B5" s="34" t="s">
        <v>57</v>
      </c>
      <c r="C5" s="35">
        <v>0.25</v>
      </c>
      <c r="D5" s="34" t="s">
        <v>57</v>
      </c>
      <c r="E5" s="35">
        <v>0.30000000000000004</v>
      </c>
      <c r="F5" s="34" t="s">
        <v>76</v>
      </c>
      <c r="G5" s="35">
        <v>0.2</v>
      </c>
      <c r="H5" s="34" t="s">
        <v>38</v>
      </c>
      <c r="I5" s="35">
        <v>0.35</v>
      </c>
      <c r="J5" s="34" t="s">
        <v>116</v>
      </c>
      <c r="K5" s="35">
        <v>0.25</v>
      </c>
      <c r="L5" s="34" t="s">
        <v>117</v>
      </c>
      <c r="M5" s="35">
        <v>0.5</v>
      </c>
      <c r="O5" s="36">
        <f>RANGEAVG(B5)*C5*1000/100</f>
        <v>8.75</v>
      </c>
      <c r="P5" s="36">
        <f>RANGEAVG(D5)*E5*1000/10</f>
        <v>105.00000000000003</v>
      </c>
      <c r="Q5" s="36">
        <f>RANGEAVG(F5)*G5*1000/2</f>
        <v>250</v>
      </c>
      <c r="R5" s="36">
        <f>RANGEAVG(H5)*I5*1000</f>
        <v>2449.9999999999995</v>
      </c>
      <c r="S5" s="36">
        <f>RANGEAVG(J5)*K5*1000*5</f>
        <v>1875</v>
      </c>
      <c r="T5" s="36">
        <f>RANGEAVG(L5)*M5*GemsJewelry!D$3</f>
        <v>2042.25</v>
      </c>
      <c r="U5" s="36">
        <f>RANGEAVG(L5)*M5*GemsJewelry!D$23</f>
        <v>11025</v>
      </c>
      <c r="W5" s="37">
        <f>SUM(O5:U5)</f>
        <v>17756</v>
      </c>
    </row>
    <row r="6" spans="1:23" ht="11.25">
      <c r="A6" s="33" t="s">
        <v>53</v>
      </c>
      <c r="B6" s="34" t="s">
        <v>43</v>
      </c>
      <c r="C6" s="35">
        <v>0.5</v>
      </c>
      <c r="D6" s="34" t="s">
        <v>57</v>
      </c>
      <c r="E6" s="35">
        <v>0.25</v>
      </c>
      <c r="F6" s="34" t="s">
        <v>76</v>
      </c>
      <c r="G6" s="35">
        <v>0.25</v>
      </c>
      <c r="H6" s="34" t="s">
        <v>118</v>
      </c>
      <c r="I6" s="35">
        <v>0.25</v>
      </c>
      <c r="J6" s="34" t="s">
        <v>49</v>
      </c>
      <c r="K6" s="34" t="s">
        <v>49</v>
      </c>
      <c r="L6" s="34" t="s">
        <v>57</v>
      </c>
      <c r="M6" s="35">
        <v>0.25</v>
      </c>
      <c r="O6" s="36">
        <f>RANGEAVG(B6)*C6*1000/100</f>
        <v>22.5</v>
      </c>
      <c r="P6" s="36">
        <f>RANGEAVG(D6)*E6*1000/10</f>
        <v>87.5</v>
      </c>
      <c r="Q6" s="36">
        <f>RANGEAVG(F6)*G6*1000/2</f>
        <v>312.5</v>
      </c>
      <c r="R6" s="36">
        <f>RANGEAVG(H6)*I6*1000</f>
        <v>500</v>
      </c>
      <c r="S6" s="36">
        <f>RANGEAVG(J6)*K6*1000*5</f>
        <v>0</v>
      </c>
      <c r="T6" s="36">
        <f>RANGEAVG(L6)*M6*GemsJewelry!D$3</f>
        <v>170.1875</v>
      </c>
      <c r="U6" s="36">
        <f>RANGEAVG(L6)*M6*GemsJewelry!D$23</f>
        <v>918.75</v>
      </c>
      <c r="W6" s="37">
        <f>SUM(O6:U6)</f>
        <v>2011.4375</v>
      </c>
    </row>
    <row r="7" spans="1:23" ht="11.25">
      <c r="A7" s="33" t="s">
        <v>26</v>
      </c>
      <c r="B7" s="34" t="s">
        <v>62</v>
      </c>
      <c r="C7" s="35">
        <v>0.2</v>
      </c>
      <c r="D7" s="34" t="s">
        <v>76</v>
      </c>
      <c r="E7" s="35">
        <v>0.30000000000000004</v>
      </c>
      <c r="F7" s="34" t="s">
        <v>76</v>
      </c>
      <c r="G7" s="35">
        <v>0.1</v>
      </c>
      <c r="H7" s="34" t="s">
        <v>49</v>
      </c>
      <c r="I7" s="35" t="s">
        <v>49</v>
      </c>
      <c r="J7" s="34" t="s">
        <v>49</v>
      </c>
      <c r="K7" s="34" t="s">
        <v>49</v>
      </c>
      <c r="L7" s="34" t="s">
        <v>76</v>
      </c>
      <c r="M7" s="35">
        <v>0.25</v>
      </c>
      <c r="O7" s="36">
        <f>RANGEAVG(B7)*C7*1000/100</f>
        <v>13</v>
      </c>
      <c r="P7" s="36">
        <f>RANGEAVG(D7)*E7*1000/10</f>
        <v>75.00000000000001</v>
      </c>
      <c r="Q7" s="36">
        <f>RANGEAVG(F7)*G7*1000/2</f>
        <v>125</v>
      </c>
      <c r="R7" s="36">
        <f>RANGEAVG(H7)*I7*1000</f>
        <v>0</v>
      </c>
      <c r="S7" s="36">
        <f>RANGEAVG(J7)*K7*1000*5</f>
        <v>0</v>
      </c>
      <c r="T7" s="36">
        <f>RANGEAVG(L7)*M7*GemsJewelry!D$3</f>
        <v>121.5625</v>
      </c>
      <c r="U7" s="36">
        <f>RANGEAVG(L7)*M7*GemsJewelry!D$23</f>
        <v>656.25</v>
      </c>
      <c r="W7" s="37">
        <f>SUM(O7:U7)</f>
        <v>990.8125</v>
      </c>
    </row>
    <row r="8" spans="1:23" ht="11.25">
      <c r="A8" s="33" t="s">
        <v>30</v>
      </c>
      <c r="B8" s="34" t="s">
        <v>43</v>
      </c>
      <c r="C8" s="35">
        <v>0.1</v>
      </c>
      <c r="D8" s="34" t="s">
        <v>62</v>
      </c>
      <c r="E8" s="35">
        <v>0.15</v>
      </c>
      <c r="F8" s="34" t="s">
        <v>49</v>
      </c>
      <c r="G8" s="35" t="s">
        <v>49</v>
      </c>
      <c r="H8" s="34" t="s">
        <v>57</v>
      </c>
      <c r="I8" s="35">
        <v>0.6000000000000001</v>
      </c>
      <c r="J8" s="34" t="s">
        <v>49</v>
      </c>
      <c r="K8" s="34" t="s">
        <v>49</v>
      </c>
      <c r="L8" s="34" t="s">
        <v>43</v>
      </c>
      <c r="M8" s="35">
        <v>0.30000000000000004</v>
      </c>
      <c r="O8" s="36">
        <f>RANGEAVG(B8)*C8*1000/100</f>
        <v>4.5</v>
      </c>
      <c r="P8" s="36">
        <f>RANGEAVG(D8)*E8*1000/10</f>
        <v>97.5</v>
      </c>
      <c r="Q8" s="36">
        <f>RANGEAVG(F8)*G8*1000/2</f>
        <v>0</v>
      </c>
      <c r="R8" s="36">
        <f>RANGEAVG(H8)*I8*1000</f>
        <v>2100.0000000000005</v>
      </c>
      <c r="S8" s="36">
        <f>RANGEAVG(J8)*K8*1000*5</f>
        <v>0</v>
      </c>
      <c r="T8" s="36">
        <f>RANGEAVG(L8)*M8*GemsJewelry!D$3</f>
        <v>262.57500000000005</v>
      </c>
      <c r="U8" s="36">
        <f>RANGEAVG(L8)*M8*GemsJewelry!D$23</f>
        <v>1417.5</v>
      </c>
      <c r="W8" s="37">
        <f>SUM(O8:U8)</f>
        <v>3882.0750000000007</v>
      </c>
    </row>
    <row r="9" spans="1:23" ht="11.25">
      <c r="A9" s="33" t="s">
        <v>60</v>
      </c>
      <c r="B9" s="34" t="s">
        <v>119</v>
      </c>
      <c r="C9" s="35">
        <v>0.05</v>
      </c>
      <c r="D9" s="34" t="s">
        <v>62</v>
      </c>
      <c r="E9" s="35">
        <v>0.30000000000000004</v>
      </c>
      <c r="F9" s="34" t="s">
        <v>76</v>
      </c>
      <c r="G9" s="35">
        <v>0.25</v>
      </c>
      <c r="H9" s="34" t="s">
        <v>43</v>
      </c>
      <c r="I9" s="35">
        <v>0.25</v>
      </c>
      <c r="J9" s="34" t="s">
        <v>49</v>
      </c>
      <c r="K9" s="34" t="s">
        <v>49</v>
      </c>
      <c r="L9" s="34" t="s">
        <v>119</v>
      </c>
      <c r="M9" s="35">
        <v>0.1</v>
      </c>
      <c r="O9" s="36">
        <f>RANGEAVG(B9)*C9*1000/100</f>
        <v>2.75</v>
      </c>
      <c r="P9" s="36">
        <f>RANGEAVG(D9)*E9*1000/10</f>
        <v>195.00000000000003</v>
      </c>
      <c r="Q9" s="36">
        <f>RANGEAVG(F9)*G9*1000/2</f>
        <v>312.5</v>
      </c>
      <c r="R9" s="36">
        <f>RANGEAVG(H9)*I9*1000</f>
        <v>1125</v>
      </c>
      <c r="S9" s="36">
        <f>RANGEAVG(J9)*K9*1000*5</f>
        <v>0</v>
      </c>
      <c r="T9" s="36">
        <f>RANGEAVG(L9)*M9*GemsJewelry!D$3</f>
        <v>106.97500000000001</v>
      </c>
      <c r="U9" s="36">
        <f>RANGEAVG(L9)*M9*GemsJewelry!D$23</f>
        <v>577.5</v>
      </c>
      <c r="W9" s="37">
        <f>SUM(O9:U9)</f>
        <v>2319.725</v>
      </c>
    </row>
    <row r="10" spans="1:23" ht="11.25">
      <c r="A10" s="33" t="s">
        <v>70</v>
      </c>
      <c r="B10" s="34" t="s">
        <v>49</v>
      </c>
      <c r="C10" s="35" t="s">
        <v>49</v>
      </c>
      <c r="D10" s="34" t="s">
        <v>120</v>
      </c>
      <c r="E10" s="35">
        <v>0.1</v>
      </c>
      <c r="F10" s="34" t="s">
        <v>43</v>
      </c>
      <c r="G10" s="35">
        <v>0.2</v>
      </c>
      <c r="H10" s="34" t="s">
        <v>62</v>
      </c>
      <c r="I10" s="35">
        <v>0.45</v>
      </c>
      <c r="J10" s="34" t="s">
        <v>118</v>
      </c>
      <c r="K10" s="35">
        <v>0.30000000000000004</v>
      </c>
      <c r="L10" s="34" t="s">
        <v>121</v>
      </c>
      <c r="M10" s="35">
        <v>0.2</v>
      </c>
      <c r="O10" s="36">
        <f>RANGEAVG(B10)*C10*1000/100</f>
        <v>0</v>
      </c>
      <c r="P10" s="36">
        <f>RANGEAVG(D10)*E10*1000/10</f>
        <v>110</v>
      </c>
      <c r="Q10" s="36">
        <f>RANGEAVG(F10)*G10*1000/2</f>
        <v>450</v>
      </c>
      <c r="R10" s="36">
        <f>RANGEAVG(H10)*I10*1000</f>
        <v>2925.0000000000005</v>
      </c>
      <c r="S10" s="36">
        <f>RANGEAVG(J10)*K10*1000*5</f>
        <v>3000.0000000000005</v>
      </c>
      <c r="T10" s="36">
        <f>RANGEAVG(L10)*M10*GemsJewelry!D$3</f>
        <v>505.70000000000005</v>
      </c>
      <c r="U10" s="36">
        <f>RANGEAVG(L10)*M10*GemsJewelry!D$23</f>
        <v>2730</v>
      </c>
      <c r="W10" s="37">
        <f>SUM(O10:U10)</f>
        <v>9720.7</v>
      </c>
    </row>
    <row r="11" spans="1:23" ht="11.25">
      <c r="A11" s="33" t="s">
        <v>122</v>
      </c>
      <c r="B11" s="34" t="s">
        <v>49</v>
      </c>
      <c r="C11" s="35" t="s">
        <v>49</v>
      </c>
      <c r="D11" s="34" t="s">
        <v>49</v>
      </c>
      <c r="E11" s="35" t="s">
        <v>49</v>
      </c>
      <c r="F11" s="34" t="s">
        <v>49</v>
      </c>
      <c r="G11" s="35" t="s">
        <v>49</v>
      </c>
      <c r="H11" s="34" t="s">
        <v>123</v>
      </c>
      <c r="I11" s="35">
        <v>0.5</v>
      </c>
      <c r="J11" s="34" t="s">
        <v>57</v>
      </c>
      <c r="K11" s="35">
        <v>0.5</v>
      </c>
      <c r="L11" s="34" t="s">
        <v>119</v>
      </c>
      <c r="M11" s="35">
        <v>0.25</v>
      </c>
      <c r="O11" s="36">
        <f>RANGEAVG(B11)*C11*1000/100</f>
        <v>0</v>
      </c>
      <c r="P11" s="36">
        <f>RANGEAVG(D11)*E11*1000/10</f>
        <v>0</v>
      </c>
      <c r="Q11" s="36">
        <f>RANGEAVG(F11)*G11*1000/2</f>
        <v>0</v>
      </c>
      <c r="R11" s="36">
        <f>RANGEAVG(H11)*I11*1000</f>
        <v>12500</v>
      </c>
      <c r="S11" s="36">
        <f>RANGEAVG(J11)*K11*1000*5</f>
        <v>8750</v>
      </c>
      <c r="T11" s="36">
        <f>RANGEAVG(L11)*M11*GemsJewelry!D$3</f>
        <v>267.4375</v>
      </c>
      <c r="U11" s="36">
        <f>RANGEAVG(L11)*M11*GemsJewelry!D$23</f>
        <v>1443.75</v>
      </c>
      <c r="W11" s="37">
        <f>SUM(O11:U11)</f>
        <v>22961.1875</v>
      </c>
    </row>
    <row r="12" spans="1:23" ht="11.25">
      <c r="A12" s="33" t="s">
        <v>91</v>
      </c>
      <c r="B12" s="34" t="s">
        <v>124</v>
      </c>
      <c r="C12" s="35">
        <v>0.25</v>
      </c>
      <c r="D12" s="34" t="s">
        <v>125</v>
      </c>
      <c r="E12" s="35">
        <v>0.5</v>
      </c>
      <c r="F12" s="34" t="s">
        <v>123</v>
      </c>
      <c r="G12" s="35">
        <v>0.5</v>
      </c>
      <c r="H12" s="34" t="s">
        <v>28</v>
      </c>
      <c r="I12" s="35">
        <v>0.5</v>
      </c>
      <c r="J12" s="34" t="s">
        <v>126</v>
      </c>
      <c r="K12" s="35">
        <v>0.25</v>
      </c>
      <c r="L12" s="34" t="s">
        <v>123</v>
      </c>
      <c r="M12" s="35">
        <v>0.5</v>
      </c>
      <c r="O12" s="36">
        <f>RANGEAVG(B12)*C12*1000/100</f>
        <v>33.75</v>
      </c>
      <c r="P12" s="36">
        <f>RANGEAVG(D12)*E12*1000/10</f>
        <v>2525</v>
      </c>
      <c r="Q12" s="36">
        <f>RANGEAVG(F12)*G12*1000/2</f>
        <v>6250</v>
      </c>
      <c r="R12" s="36">
        <f>RANGEAVG(H12)*I12*1000</f>
        <v>17500</v>
      </c>
      <c r="S12" s="36">
        <f>RANGEAVG(J12)*K12*1000*5</f>
        <v>15625</v>
      </c>
      <c r="T12" s="36">
        <f>RANGEAVG(L12)*M12*GemsJewelry!D$3</f>
        <v>2431.25</v>
      </c>
      <c r="U12" s="36">
        <f>RANGEAVG(L12)*M12*GemsJewelry!D$23</f>
        <v>13125</v>
      </c>
      <c r="W12" s="37">
        <f>SUM(O12:U12)</f>
        <v>57490</v>
      </c>
    </row>
    <row r="13" spans="1:23" ht="11.25">
      <c r="A13" s="33" t="s">
        <v>127</v>
      </c>
      <c r="B13" s="34" t="s">
        <v>49</v>
      </c>
      <c r="C13" s="35" t="s">
        <v>49</v>
      </c>
      <c r="D13" s="34" t="s">
        <v>49</v>
      </c>
      <c r="E13" s="35" t="s">
        <v>49</v>
      </c>
      <c r="F13" s="34" t="s">
        <v>49</v>
      </c>
      <c r="G13" s="35" t="s">
        <v>49</v>
      </c>
      <c r="H13" s="34" t="s">
        <v>49</v>
      </c>
      <c r="I13" s="35" t="s">
        <v>49</v>
      </c>
      <c r="J13" s="34" t="s">
        <v>43</v>
      </c>
      <c r="K13" s="35">
        <v>0.30000000000000004</v>
      </c>
      <c r="L13" s="34" t="s">
        <v>38</v>
      </c>
      <c r="M13" s="35">
        <v>0.5</v>
      </c>
      <c r="O13" s="36">
        <f>RANGEAVG(B13)*C13*1000/100</f>
        <v>0</v>
      </c>
      <c r="P13" s="36">
        <f>RANGEAVG(D13)*E13*1000/10</f>
        <v>0</v>
      </c>
      <c r="Q13" s="36">
        <f>RANGEAVG(F13)*G13*1000/2</f>
        <v>0</v>
      </c>
      <c r="R13" s="36">
        <f>RANGEAVG(H13)*I13*1000</f>
        <v>0</v>
      </c>
      <c r="S13" s="36">
        <f>RANGEAVG(J13)*K13*1000*5</f>
        <v>6750</v>
      </c>
      <c r="T13" s="36">
        <f>RANGEAVG(L13)*M13*GemsJewelry!D$3</f>
        <v>680.75</v>
      </c>
      <c r="U13" s="36">
        <f>RANGEAVG(L13)*M13*GemsJewelry!D$23</f>
        <v>3675</v>
      </c>
      <c r="W13" s="37">
        <f>SUM(O13:U13)</f>
        <v>11105.75</v>
      </c>
    </row>
    <row r="14" spans="1:23" ht="11.25">
      <c r="A14" s="33" t="s">
        <v>23</v>
      </c>
      <c r="B14" s="34" t="s">
        <v>76</v>
      </c>
      <c r="C14" s="35">
        <v>0.25</v>
      </c>
      <c r="D14" s="34" t="s">
        <v>118</v>
      </c>
      <c r="E14" s="35">
        <v>0.1</v>
      </c>
      <c r="F14" s="34" t="s">
        <v>49</v>
      </c>
      <c r="G14" s="35" t="s">
        <v>49</v>
      </c>
      <c r="H14" s="34" t="s">
        <v>49</v>
      </c>
      <c r="I14" s="35" t="s">
        <v>49</v>
      </c>
      <c r="J14" s="34" t="s">
        <v>49</v>
      </c>
      <c r="K14" s="35" t="s">
        <v>49</v>
      </c>
      <c r="L14" s="34" t="s">
        <v>49</v>
      </c>
      <c r="M14" s="35" t="s">
        <v>49</v>
      </c>
      <c r="O14" s="36">
        <f>RANGEAVG(B14)*C14*1000/100</f>
        <v>6.25</v>
      </c>
      <c r="P14" s="36">
        <f>RANGEAVG(D14)*E14*1000/10</f>
        <v>20</v>
      </c>
      <c r="Q14" s="36">
        <f>RANGEAVG(F14)*G14*1000/2</f>
        <v>0</v>
      </c>
      <c r="R14" s="36">
        <f>RANGEAVG(H14)*I14*1000</f>
        <v>0</v>
      </c>
      <c r="S14" s="36">
        <f>RANGEAVG(J14)*K14*1000*5</f>
        <v>0</v>
      </c>
      <c r="T14" s="36">
        <f>RANGEAVG(L14)*M14*GemsJewelry!D$3</f>
        <v>0</v>
      </c>
      <c r="U14" s="36">
        <f>RANGEAVG(L14)*M14*GemsJewelry!D$23</f>
        <v>0</v>
      </c>
      <c r="W14" s="37">
        <f>SUM(O14:U14)</f>
        <v>26.25</v>
      </c>
    </row>
    <row r="16" ht="11.25">
      <c r="A16" s="38" t="s">
        <v>128</v>
      </c>
    </row>
    <row r="17" ht="11.25">
      <c r="A17" s="38" t="s">
        <v>129</v>
      </c>
    </row>
    <row r="18" ht="11.25">
      <c r="A18" s="38" t="s">
        <v>130</v>
      </c>
    </row>
  </sheetData>
  <mergeCells count="8">
    <mergeCell ref="B3:M3"/>
    <mergeCell ref="O3:U3"/>
    <mergeCell ref="B4:C4"/>
    <mergeCell ref="D4:E4"/>
    <mergeCell ref="F4:G4"/>
    <mergeCell ref="H4:I4"/>
    <mergeCell ref="J4:K4"/>
    <mergeCell ref="L4:M4"/>
  </mergeCells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12.57421875" defaultRowHeight="11.25"/>
  <cols>
    <col min="1" max="1" width="5.421875" style="25" customWidth="1"/>
    <col min="2" max="2" width="8.421875" style="25" customWidth="1"/>
    <col min="3" max="3" width="6.00390625" style="39" customWidth="1"/>
    <col min="4" max="4" width="8.8515625" style="25" customWidth="1"/>
    <col min="5" max="16384" width="11.57421875" style="25" customWidth="1"/>
  </cols>
  <sheetData>
    <row r="1" spans="1:2" ht="11.25">
      <c r="A1" s="32" t="s">
        <v>131</v>
      </c>
      <c r="B1" s="32"/>
    </row>
    <row r="2" spans="1:2" ht="11.25">
      <c r="A2" s="32"/>
      <c r="B2" s="32"/>
    </row>
    <row r="3" spans="1:4" ht="11.25">
      <c r="A3" s="32" t="s">
        <v>132</v>
      </c>
      <c r="B3" s="32"/>
      <c r="D3" s="25">
        <f>SUM(D6:D10)</f>
        <v>194.5</v>
      </c>
    </row>
    <row r="4" spans="1:2" ht="11.25">
      <c r="A4" s="32"/>
      <c r="B4" s="32"/>
    </row>
    <row r="5" spans="1:4" ht="11.25">
      <c r="A5" s="31" t="s">
        <v>133</v>
      </c>
      <c r="B5" s="31" t="s">
        <v>134</v>
      </c>
      <c r="C5" s="40" t="s">
        <v>135</v>
      </c>
      <c r="D5" s="31" t="s">
        <v>136</v>
      </c>
    </row>
    <row r="6" spans="1:4" ht="11.25">
      <c r="A6" s="25">
        <v>20</v>
      </c>
      <c r="B6" s="25">
        <v>10</v>
      </c>
      <c r="C6" s="39">
        <f>(A6-A5)/100</f>
        <v>0.2</v>
      </c>
      <c r="D6" s="25">
        <f>C6*B6</f>
        <v>2</v>
      </c>
    </row>
    <row r="7" spans="1:4" ht="11.25">
      <c r="A7" s="25">
        <v>45</v>
      </c>
      <c r="B7" s="25">
        <v>50</v>
      </c>
      <c r="C7" s="39">
        <f>(A7-A6)/100</f>
        <v>0.25</v>
      </c>
      <c r="D7" s="25">
        <f>C7*B7</f>
        <v>12.5</v>
      </c>
    </row>
    <row r="8" spans="1:4" ht="11.25">
      <c r="A8" s="25">
        <v>75</v>
      </c>
      <c r="B8" s="25">
        <v>100</v>
      </c>
      <c r="C8" s="39">
        <f>(A8-A7)/100</f>
        <v>0.3</v>
      </c>
      <c r="D8" s="25">
        <f>C8*B8</f>
        <v>30</v>
      </c>
    </row>
    <row r="9" spans="1:4" ht="11.25">
      <c r="A9" s="25">
        <v>95</v>
      </c>
      <c r="B9" s="25">
        <v>500</v>
      </c>
      <c r="C9" s="39">
        <f>(A9-A8)/100</f>
        <v>0.2</v>
      </c>
      <c r="D9" s="25">
        <f>C9*B9</f>
        <v>100</v>
      </c>
    </row>
    <row r="10" spans="1:4" ht="11.25">
      <c r="A10" s="25">
        <v>100</v>
      </c>
      <c r="B10" s="25">
        <v>1000</v>
      </c>
      <c r="C10" s="39">
        <f>(A10-A9)/100</f>
        <v>0.05</v>
      </c>
      <c r="D10" s="25">
        <f>C10*B10</f>
        <v>50</v>
      </c>
    </row>
    <row r="13" spans="1:4" ht="11.25">
      <c r="A13" s="32" t="s">
        <v>137</v>
      </c>
      <c r="D13" s="25">
        <f>SUM(D16:D20)</f>
        <v>0</v>
      </c>
    </row>
    <row r="15" spans="1:4" ht="11.25">
      <c r="A15" s="31" t="s">
        <v>133</v>
      </c>
      <c r="B15" s="31" t="s">
        <v>134</v>
      </c>
      <c r="C15" s="40" t="s">
        <v>135</v>
      </c>
      <c r="D15" s="31" t="s">
        <v>136</v>
      </c>
    </row>
    <row r="16" spans="1:4" ht="11.25">
      <c r="A16" s="25" t="s">
        <v>49</v>
      </c>
      <c r="B16" s="25" t="s">
        <v>49</v>
      </c>
      <c r="C16" s="39">
        <f>(A16-A15)/100</f>
        <v>0</v>
      </c>
      <c r="D16" s="25">
        <f>C16*B16</f>
        <v>0</v>
      </c>
    </row>
    <row r="17" spans="1:4" ht="11.25">
      <c r="A17" s="25" t="s">
        <v>49</v>
      </c>
      <c r="B17" s="25" t="s">
        <v>49</v>
      </c>
      <c r="C17" s="39">
        <f>(A17-A16)/100</f>
        <v>0</v>
      </c>
      <c r="D17" s="25">
        <f>C17*B17</f>
        <v>0</v>
      </c>
    </row>
    <row r="18" spans="1:4" ht="11.25">
      <c r="A18" s="25" t="s">
        <v>49</v>
      </c>
      <c r="B18" s="25" t="s">
        <v>49</v>
      </c>
      <c r="C18" s="39">
        <f>(A18-A17)/100</f>
        <v>0</v>
      </c>
      <c r="D18" s="25">
        <f>C18*B18</f>
        <v>0</v>
      </c>
    </row>
    <row r="19" spans="1:4" ht="11.25">
      <c r="A19" s="25" t="s">
        <v>49</v>
      </c>
      <c r="B19" s="25" t="s">
        <v>49</v>
      </c>
      <c r="C19" s="39">
        <f>(A19-A18)/100</f>
        <v>0</v>
      </c>
      <c r="D19" s="25">
        <f>C19*B19</f>
        <v>0</v>
      </c>
    </row>
    <row r="20" spans="1:4" ht="11.25">
      <c r="A20" s="25" t="s">
        <v>49</v>
      </c>
      <c r="B20" s="25" t="s">
        <v>49</v>
      </c>
      <c r="C20" s="39">
        <f>(A20-A19)/100</f>
        <v>0</v>
      </c>
      <c r="D20" s="25">
        <f>C20*B20</f>
        <v>0</v>
      </c>
    </row>
    <row r="23" spans="1:4" ht="11.25">
      <c r="A23" s="32" t="s">
        <v>114</v>
      </c>
      <c r="D23" s="36">
        <f>SUM(D26:D28)</f>
        <v>1050</v>
      </c>
    </row>
    <row r="25" spans="1:4" ht="11.25">
      <c r="A25" s="31" t="s">
        <v>133</v>
      </c>
      <c r="B25" s="31" t="s">
        <v>134</v>
      </c>
      <c r="C25" s="40" t="s">
        <v>135</v>
      </c>
      <c r="D25" s="31" t="s">
        <v>136</v>
      </c>
    </row>
    <row r="26" spans="1:4" ht="11.25">
      <c r="A26" s="25">
        <v>100</v>
      </c>
      <c r="B26" s="25">
        <v>1050</v>
      </c>
      <c r="C26" s="39">
        <f>(A26-A25)/100</f>
        <v>1</v>
      </c>
      <c r="D26" s="36">
        <f>C26*B26</f>
        <v>1050</v>
      </c>
    </row>
    <row r="27" spans="1:4" ht="11.25">
      <c r="A27"/>
      <c r="B27"/>
      <c r="C27"/>
      <c r="D27"/>
    </row>
    <row r="28" spans="1:4" ht="11.25">
      <c r="A28"/>
      <c r="B28"/>
      <c r="C28"/>
      <c r="D28"/>
    </row>
  </sheetData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Collins</dc:creator>
  <cp:keywords/>
  <dc:description/>
  <cp:lastModifiedBy>Dan Collins</cp:lastModifiedBy>
  <dcterms:created xsi:type="dcterms:W3CDTF">2010-08-18T06:06:56Z</dcterms:created>
  <dcterms:modified xsi:type="dcterms:W3CDTF">2011-10-10T06:40:52Z</dcterms:modified>
  <cp:category/>
  <cp:version/>
  <cp:contentType/>
  <cp:contentStatus/>
  <cp:revision>52</cp:revision>
</cp:coreProperties>
</file>