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32" activeTab="7"/>
  </bookViews>
  <sheets>
    <sheet name="Abilities" sheetId="1" r:id="rId1"/>
    <sheet name="Feats" sheetId="2" r:id="rId2"/>
    <sheet name="Gear" sheetId="3" r:id="rId3"/>
    <sheet name="Magic" sheetId="4" r:id="rId4"/>
    <sheet name="Spells" sheetId="5" r:id="rId5"/>
    <sheet name="Known" sheetId="6" r:id="rId6"/>
    <sheet name="Stats" sheetId="7" r:id="rId7"/>
    <sheet name="Party" sheetId="8" r:id="rId8"/>
    <sheet name="License" sheetId="9" r:id="rId9"/>
  </sheets>
  <definedNames/>
  <calcPr fullCalcOnLoad="1"/>
</workbook>
</file>

<file path=xl/sharedStrings.xml><?xml version="1.0" encoding="utf-8"?>
<sst xmlns="http://schemas.openxmlformats.org/spreadsheetml/2006/main" count="336" uniqueCount="123">
  <si>
    <t>PC ABILITY SCORES</t>
  </si>
  <si>
    <t>Class</t>
  </si>
  <si>
    <t>Str</t>
  </si>
  <si>
    <t>Dex</t>
  </si>
  <si>
    <t>Con</t>
  </si>
  <si>
    <t>Int</t>
  </si>
  <si>
    <t>Wis</t>
  </si>
  <si>
    <t>Cha</t>
  </si>
  <si>
    <t>Fighter-E</t>
  </si>
  <si>
    <t>Fighter-P</t>
  </si>
  <si>
    <t>Rogue</t>
  </si>
  <si>
    <t>Wizard</t>
  </si>
  <si>
    <t>ABILITY ADJUSTMENTS</t>
  </si>
  <si>
    <t>PC FEAT SELECTIONS</t>
  </si>
  <si>
    <t>Feats</t>
  </si>
  <si>
    <t>expertise, dodge, mobility, spring atk, whirlwind atk, weapon focus, weapon spec, imp crit, combat reflexes, rapid atk, imp disarm, blind-fight</t>
  </si>
  <si>
    <t>power atk, armor prof (heavy), weapon focus, weapon spec, dodge, imp crit, cleave, great cleave, combat reflexes, rapid atk, point blank shot, rapid shot</t>
  </si>
  <si>
    <t>point blank shot, sk (srch), sneak atk (2d6), imp init, alertness, rapid shot, evasion, sk (ddev), imp sneak atk (5d6)</t>
  </si>
  <si>
    <t>scribe scroll, sk (heal), craft wand, sk (conc), craft wondrous item, forge ring</t>
  </si>
  <si>
    <t>PC GEAR SELECTIONS</t>
  </si>
  <si>
    <t>Armor</t>
  </si>
  <si>
    <t>Shield</t>
  </si>
  <si>
    <t>Max</t>
  </si>
  <si>
    <t>Equipment</t>
  </si>
  <si>
    <t>Bonus</t>
  </si>
  <si>
    <t>Chainmail, large shield, longsword, longbow</t>
  </si>
  <si>
    <t>Plate mail, greataxe, longbow</t>
  </si>
  <si>
    <t>Studded leather, light mace, longbow</t>
  </si>
  <si>
    <t>Quarterstaff, sling</t>
  </si>
  <si>
    <t>-</t>
  </si>
  <si>
    <t>PC MAGIC ITEM CALCULATOR</t>
  </si>
  <si>
    <t>Total</t>
  </si>
  <si>
    <t>After</t>
  </si>
  <si>
    <t>Primary</t>
  </si>
  <si>
    <t>Second.</t>
  </si>
  <si>
    <t>Level</t>
  </si>
  <si>
    <t>Value</t>
  </si>
  <si>
    <t>Gear</t>
  </si>
  <si>
    <t>Weapon</t>
  </si>
  <si>
    <t>Left</t>
  </si>
  <si>
    <t>Check</t>
  </si>
  <si>
    <t xml:space="preserve">  Note: Any PC may also have one or more potions of curing.</t>
  </si>
  <si>
    <t>WIZARD WEAPON REPLACEMENTS</t>
  </si>
  <si>
    <t>Weap.</t>
  </si>
  <si>
    <t>Scroll</t>
  </si>
  <si>
    <t>Wand</t>
  </si>
  <si>
    <t>Wond.</t>
  </si>
  <si>
    <t>Name</t>
  </si>
  <si>
    <t>WIZARD ITEM STRINGS</t>
  </si>
  <si>
    <t>String</t>
  </si>
  <si>
    <t>WIZARD SPELLS KNOWN</t>
  </si>
  <si>
    <t>WIZARD SPELLS PER DAY TOTALS</t>
  </si>
  <si>
    <t>Wiz</t>
  </si>
  <si>
    <t>Spell Level</t>
  </si>
  <si>
    <t>Totals</t>
  </si>
  <si>
    <t>WIZARDS SPELLS PER DAY</t>
  </si>
  <si>
    <t>WIZARD BONUS SPELLS PER DAY</t>
  </si>
  <si>
    <t>Spells Selected</t>
  </si>
  <si>
    <t>detect magic, read magic, arcane mark, prestidigitation, light, ghost sound, message, resistance, mage hand</t>
  </si>
  <si>
    <t>magic missile, mage armor, shield, identify, sleep</t>
  </si>
  <si>
    <t>invisibility, scorching ray, see invisibility, mirror image, alter self</t>
  </si>
  <si>
    <t>dispel magic, fireball, fly, haste</t>
  </si>
  <si>
    <t>polymorph other, stoneskin, black tentacles</t>
  </si>
  <si>
    <t>teleport, wall of force</t>
  </si>
  <si>
    <t>greater dispel magic</t>
  </si>
  <si>
    <t>Spells Known</t>
  </si>
  <si>
    <t>PC STOCK STATISTICS</t>
  </si>
  <si>
    <t xml:space="preserve">  All bows shown are longbows.</t>
  </si>
  <si>
    <t>BASE BONUSES</t>
  </si>
  <si>
    <t>Melee</t>
  </si>
  <si>
    <t>Ranged</t>
  </si>
  <si>
    <t>FEAT/SPECIAL BONUSES</t>
  </si>
  <si>
    <t>PC</t>
  </si>
  <si>
    <t>CR</t>
  </si>
  <si>
    <t>Init</t>
  </si>
  <si>
    <t>AC</t>
  </si>
  <si>
    <t>HD</t>
  </si>
  <si>
    <t>Saves</t>
  </si>
  <si>
    <t>Spd</t>
  </si>
  <si>
    <t>Attacks</t>
  </si>
  <si>
    <t>Special</t>
  </si>
  <si>
    <t>hp</t>
  </si>
  <si>
    <t>Fort</t>
  </si>
  <si>
    <t>Refl</t>
  </si>
  <si>
    <t>Will</t>
  </si>
  <si>
    <t>Atk</t>
  </si>
  <si>
    <t>Dam</t>
  </si>
  <si>
    <t>PC STOCK PARTIES</t>
  </si>
  <si>
    <r>
      <t>1</t>
    </r>
    <r>
      <rPr>
        <b/>
        <vertAlign val="superscript"/>
        <sz val="8"/>
        <rFont val="Arial"/>
        <family val="2"/>
      </rPr>
      <t>st</t>
    </r>
    <r>
      <rPr>
        <b/>
        <sz val="8"/>
        <rFont val="Arial"/>
        <family val="2"/>
      </rPr>
      <t xml:space="preserve"> LEVEL PARTY</t>
    </r>
  </si>
  <si>
    <r>
      <t>2</t>
    </r>
    <r>
      <rPr>
        <b/>
        <vertAlign val="superscript"/>
        <sz val="8"/>
        <rFont val="Arial"/>
        <family val="2"/>
      </rPr>
      <t>nd</t>
    </r>
    <r>
      <rPr>
        <b/>
        <sz val="8"/>
        <rFont val="Arial"/>
        <family val="2"/>
      </rPr>
      <t xml:space="preserve"> LEVEL PARTY</t>
    </r>
  </si>
  <si>
    <r>
      <t>3</t>
    </r>
    <r>
      <rPr>
        <b/>
        <vertAlign val="superscript"/>
        <sz val="8"/>
        <rFont val="Arial"/>
        <family val="2"/>
      </rPr>
      <t>rd</t>
    </r>
    <r>
      <rPr>
        <b/>
        <sz val="8"/>
        <rFont val="Arial"/>
        <family val="2"/>
      </rPr>
      <t xml:space="preserve"> LEVEL PARTY</t>
    </r>
  </si>
  <si>
    <r>
      <t>4</t>
    </r>
    <r>
      <rPr>
        <b/>
        <vertAlign val="superscript"/>
        <sz val="8"/>
        <rFont val="Arial"/>
        <family val="2"/>
      </rPr>
      <t>th</t>
    </r>
    <r>
      <rPr>
        <b/>
        <sz val="8"/>
        <rFont val="Arial"/>
        <family val="2"/>
      </rPr>
      <t xml:space="preserve"> LEVEL PARTY</t>
    </r>
  </si>
  <si>
    <r>
      <t>5</t>
    </r>
    <r>
      <rPr>
        <b/>
        <vertAlign val="superscript"/>
        <sz val="8"/>
        <rFont val="Arial"/>
        <family val="2"/>
      </rPr>
      <t>th</t>
    </r>
    <r>
      <rPr>
        <b/>
        <sz val="8"/>
        <rFont val="Arial"/>
        <family val="2"/>
      </rPr>
      <t xml:space="preserve"> LEVEL PARTY</t>
    </r>
  </si>
  <si>
    <r>
      <t>6</t>
    </r>
    <r>
      <rPr>
        <b/>
        <vertAlign val="superscript"/>
        <sz val="8"/>
        <rFont val="Arial"/>
        <family val="2"/>
      </rPr>
      <t>th</t>
    </r>
    <r>
      <rPr>
        <b/>
        <sz val="8"/>
        <rFont val="Arial"/>
        <family val="2"/>
      </rPr>
      <t xml:space="preserve"> LEVEL PARTY</t>
    </r>
  </si>
  <si>
    <r>
      <t>7</t>
    </r>
    <r>
      <rPr>
        <b/>
        <vertAlign val="superscript"/>
        <sz val="8"/>
        <rFont val="Arial"/>
        <family val="2"/>
      </rPr>
      <t>th</t>
    </r>
    <r>
      <rPr>
        <b/>
        <sz val="8"/>
        <rFont val="Arial"/>
        <family val="2"/>
      </rPr>
      <t xml:space="preserve"> LEVEL PARTY</t>
    </r>
  </si>
  <si>
    <r>
      <t>8</t>
    </r>
    <r>
      <rPr>
        <b/>
        <vertAlign val="superscript"/>
        <sz val="8"/>
        <rFont val="Arial"/>
        <family val="2"/>
      </rPr>
      <t>th</t>
    </r>
    <r>
      <rPr>
        <b/>
        <sz val="8"/>
        <rFont val="Arial"/>
        <family val="2"/>
      </rPr>
      <t xml:space="preserve"> LEVEL PARTY</t>
    </r>
  </si>
  <si>
    <r>
      <t>9</t>
    </r>
    <r>
      <rPr>
        <b/>
        <vertAlign val="superscript"/>
        <sz val="8"/>
        <rFont val="Arial"/>
        <family val="2"/>
      </rPr>
      <t>th</t>
    </r>
    <r>
      <rPr>
        <b/>
        <sz val="8"/>
        <rFont val="Arial"/>
        <family val="2"/>
      </rPr>
      <t xml:space="preserve"> LEVEL PARTY</t>
    </r>
  </si>
  <si>
    <r>
      <t>10</t>
    </r>
    <r>
      <rPr>
        <b/>
        <vertAlign val="superscript"/>
        <sz val="8"/>
        <rFont val="Arial"/>
        <family val="2"/>
      </rPr>
      <t>th</t>
    </r>
    <r>
      <rPr>
        <b/>
        <sz val="8"/>
        <rFont val="Arial"/>
        <family val="2"/>
      </rPr>
      <t xml:space="preserve"> LEVEL PARTY</t>
    </r>
  </si>
  <si>
    <r>
      <t>11</t>
    </r>
    <r>
      <rPr>
        <b/>
        <vertAlign val="superscript"/>
        <sz val="8"/>
        <rFont val="Arial"/>
        <family val="2"/>
      </rPr>
      <t>th</t>
    </r>
    <r>
      <rPr>
        <b/>
        <sz val="8"/>
        <rFont val="Arial"/>
        <family val="2"/>
      </rPr>
      <t xml:space="preserve"> LEVEL PARTY</t>
    </r>
  </si>
  <si>
    <r>
      <t>12</t>
    </r>
    <r>
      <rPr>
        <b/>
        <vertAlign val="superscript"/>
        <sz val="8"/>
        <rFont val="Arial"/>
        <family val="2"/>
      </rPr>
      <t>th</t>
    </r>
    <r>
      <rPr>
        <b/>
        <sz val="8"/>
        <rFont val="Arial"/>
        <family val="2"/>
      </rPr>
      <t xml:space="preserve"> LEVEL PARTY</t>
    </r>
  </si>
  <si>
    <t>OPEN GAME LICENSE (Version 1.0a)</t>
  </si>
  <si>
    <t>The following text is the property of Wizards of the Coast, Inc. and is Copyright 2000 Wizards of the Coast, Inc ("Wizards"). All Rights Reserved.</t>
  </si>
  <si>
    <t xml:space="preserve"> </t>
  </si>
  <si>
    <t>1. Definitions: (a)"Contributors" means the copyright and/or trademark owners who have contributed Open Game Content; (b)"Derivative Material" means copyrighted material including derivative works and translations (including into other computer languages), potation, modification, correction, addition, extension, upgrade, improvement, compilation, abridgment or other form in which an existing work may be recast, transformed or adapted; (c) "Distribute" means to reproduce, license, rent, lease, sell, broadcast, publicly display, transmit or otherwise distribute; (d)"Open Game Content" means the game mechanic and includes the methods, procedures, processes and routines to the extent such content does not embody the Product Identity and is an enhancement over the prior art and any additional content clearly identified as Open Game Content by the Contributor, and means any work covered by this License, including translations and derivative works under copyright law, but specifically excludes Product Identity. (e) "Product Identity" means product and product line names, logos and identifying marks including trade dress; artifacts; creatures characters; stories, storylines, plots, thematic elements, dialogue, incidents, language, artwork, symbols, designs, depictions, likenesses, formats, poses, concepts, themes and graphic, photographic and other visual or audio representations; names and descriptions of characters, spells, enchantments, personalities, teams, personas, likenesses and special abilities; places, locations, environments, creatures, equipment, magical or supernatural abilities or effects, logos, symbols, or graphic designs; and any other trademark or registered trademark clearly identified as Product identity by the owner of the Product Identity, and which specifically excludes the Open Game Content; (f) "Trademark" means the logos, names, mark, sign, motto, designs that are used by a Contributor to identify itself or its products or the associated products contributed to the Open Game License by the Contributor (g) "Use", "Used" or "Using" means to use, Distribute, copy, edit, format, modify, translate and otherwise create Derivative Material of Open Game Content. (h) "You" or "Your" means the licensee in terms of this agreement.</t>
  </si>
  <si>
    <t>2. The License: This License applies to any Open Game Content that contains a notice indicating that the Open Game Content may only be Used under and in terms of this License. You must affix such a notice to any Open Game Content that you Use. No terms may be added to or subtracted from this License except as described by the License itself. No other terms or conditions may be applied to any Open Game Content distributed using this License.</t>
  </si>
  <si>
    <t>3.Offer and Acceptance: By Using the Open Game Content You indicate Your acceptance of the terms of this License.</t>
  </si>
  <si>
    <t>4. Grant and Consideration: In consideration for agreeing to use this License, the Contributors grant You a perpetual, worldwide, royalty-free, non-exclusive license with the exact terms of this License to Use, the Open Game Content.</t>
  </si>
  <si>
    <t>5.Representation of Authority to Contribute: If You are contributing original material as Open Game Content, You represent that Your Contributions are Your original creation and/or You have sufficient rights to grant the rights conveyed by this License.</t>
  </si>
  <si>
    <t>6.Notice of License Copyright: You must update the COPYRIGHT NOTICE portion of this License to include the exact text of the COPYRIGHT NOTICE of any Open Game Content You are copying, modifying or distributing, and You must add the title, the copyright date, and the copyright holder's name to the COPYRIGHT NOTICE of any original Open Game Content you Distribute.</t>
  </si>
  <si>
    <t>7. Use of Product Identity: You agree not to Use any Product Identity, including as an indication as to compatibility, except as expressly licensed in another, independent Agreement with the owner of each element of that Product Identity. You agree not to indicate compatibility or co-adaptability with any Trademark or Registered Trademark in conjunction with a work containing Open Game Content except as expressly licensed in another, independent Agreement with the owner of such Trademark or Registered Trademark. The use of any Product Identity in Open Game Content does not constitute a challenge to the ownership of that Product Identity. The owner of any Product Identity used in Open Game Content shall retain all rights, title and interest in and to that Product Identity.</t>
  </si>
  <si>
    <t>8. Identification: If you distribute Open Game Content You must clearly indicate which portions of the work that you are distributing are Open Game Content.</t>
  </si>
  <si>
    <t>9. Updating the License: Wizards or its designated Agents may publish updated versions of this License. You may use any authorized version of this License to copy, modify and distribute any Open Game Content originally distributed under any version of this License.</t>
  </si>
  <si>
    <t>10 Copy of this License: You MUST include a copy of this License with every copy of the Open Game Content You Distribute.</t>
  </si>
  <si>
    <t>11. Use of Contributor Credits: You may not market or advertise the Open Game Content using the name of any Contributor unless You have written permission from the Contributor to do so.</t>
  </si>
  <si>
    <t>12 Inability to Comply: If it is impossible for You to comply with any of the terms of this License with respect to some or all of the Open Game Content due to statute, judicial order, or governmental regulation then You may not Use any Open Game Material so affected.</t>
  </si>
  <si>
    <t>13 Termination: This License will terminate automatically if You fail to comply with all terms herein and fail to cure such breach within 30 days of becoming aware of the breach. All sublicenses shall survive the termination of this License.</t>
  </si>
  <si>
    <t>14 Reformation: If any provision of this License is held to be unenforceable, such provision shall be reformed only to the extent necessary to make it enforceable.</t>
  </si>
  <si>
    <t>15 COPYRIGHT NOTICE</t>
  </si>
  <si>
    <t>Open Game License v 1.0 Copyright 2000, Wizards of the Coast, Inc.</t>
  </si>
  <si>
    <t xml:space="preserve">System Rules Document Copyright 2000, Wizards of the Coast, Inc.; Authors Jonathan Tweet, Monte Cook, Skip Williams, based on original material by E. Gary Gygax and Dave Arneson. </t>
  </si>
  <si>
    <t xml:space="preserve">Unearthed Arcana Copyright 2004, Wizards of the Coast, Inc.; Andy Collins, Jesse Decker, David Noonan, Rich Redman. </t>
  </si>
  <si>
    <t>Dan's Diminutive d20 © 2008 by Daniel R. Collins.</t>
  </si>
  <si>
    <t>PC Stock Parties © 2008 by Daniel R. Collins.</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</si>
</sst>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10">
    <font>
      <sz val="10"/>
      <name val="Arial"/>
      <family val="2"/>
    </font>
    <font>
      <sz val="9"/>
      <name val="Arial"/>
      <family val="2"/>
    </font>
    <font>
      <b/>
      <sz val="9"/>
      <name val="Arial"/>
      <family val="2"/>
    </font>
    <font>
      <i/>
      <sz val="9"/>
      <name val="Arial"/>
      <family val="2"/>
    </font>
    <font>
      <sz val="7"/>
      <name val="Arial"/>
      <family val="2"/>
    </font>
    <font>
      <i/>
      <sz val="7"/>
      <name val="Arial"/>
      <family val="2"/>
    </font>
    <font>
      <b/>
      <sz val="7"/>
      <name val="Arial"/>
      <family val="2"/>
    </font>
    <font>
      <b/>
      <sz val="8"/>
      <name val="Arial"/>
      <family val="2"/>
    </font>
    <font>
      <b/>
      <vertAlign val="superscript"/>
      <sz val="8"/>
      <name val="Arial"/>
      <family val="2"/>
    </font>
    <font>
      <sz val="9"/>
      <color indexed="8"/>
      <name val="Arial"/>
      <family val="2"/>
    </font>
  </fonts>
  <fills count="2">
    <fill>
      <patternFill/>
    </fill>
    <fill>
      <patternFill patternType="gray125"/>
    </fill>
  </fills>
  <borders count="4">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0">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2" fillId="0" borderId="0" xfId="0" applyFont="1" applyAlignment="1">
      <alignment/>
    </xf>
    <xf numFmtId="164" fontId="2" fillId="0" borderId="0" xfId="0" applyFont="1" applyAlignment="1">
      <alignment horizontal="center"/>
    </xf>
    <xf numFmtId="164" fontId="2" fillId="0" borderId="0" xfId="0" applyFont="1" applyAlignment="1">
      <alignment horizontal="center" wrapText="1"/>
    </xf>
    <xf numFmtId="164" fontId="1" fillId="0" borderId="0" xfId="0" applyFont="1" applyAlignment="1">
      <alignment horizontal="center" wrapText="1"/>
    </xf>
    <xf numFmtId="165" fontId="1" fillId="0" borderId="0" xfId="0" applyNumberFormat="1" applyFont="1" applyAlignment="1">
      <alignment horizontal="center" wrapText="1"/>
    </xf>
    <xf numFmtId="164" fontId="1" fillId="0" borderId="0" xfId="0" applyFont="1" applyAlignment="1">
      <alignment wrapText="1"/>
    </xf>
    <xf numFmtId="164" fontId="2" fillId="0" borderId="0" xfId="0" applyFont="1" applyAlignment="1">
      <alignment wrapText="1"/>
    </xf>
    <xf numFmtId="164" fontId="2" fillId="0" borderId="0" xfId="0" applyFont="1" applyAlignment="1">
      <alignment/>
    </xf>
    <xf numFmtId="164" fontId="1" fillId="0" borderId="0" xfId="0" applyFont="1" applyAlignment="1">
      <alignment/>
    </xf>
    <xf numFmtId="165" fontId="1" fillId="0" borderId="0" xfId="0" applyNumberFormat="1" applyFont="1" applyAlignment="1">
      <alignment horizontal="center"/>
    </xf>
    <xf numFmtId="164" fontId="3" fillId="0" borderId="0" xfId="0" applyFont="1" applyAlignment="1">
      <alignment/>
    </xf>
    <xf numFmtId="164" fontId="2" fillId="0" borderId="0" xfId="0" applyFont="1" applyAlignment="1">
      <alignment horizontal="left"/>
    </xf>
    <xf numFmtId="165" fontId="2" fillId="0" borderId="0" xfId="0" applyNumberFormat="1" applyFont="1" applyAlignment="1">
      <alignment horizontal="center"/>
    </xf>
    <xf numFmtId="166" fontId="2" fillId="0" borderId="0" xfId="0" applyNumberFormat="1" applyFont="1" applyAlignment="1">
      <alignment horizontal="center"/>
    </xf>
    <xf numFmtId="166" fontId="1" fillId="0" borderId="0" xfId="0" applyNumberFormat="1" applyFont="1" applyAlignment="1">
      <alignment horizontal="center"/>
    </xf>
    <xf numFmtId="164" fontId="3" fillId="0" borderId="0" xfId="0" applyFont="1" applyAlignment="1">
      <alignment horizontal="left"/>
    </xf>
    <xf numFmtId="164" fontId="1" fillId="0" borderId="0" xfId="0" applyNumberFormat="1" applyFont="1" applyAlignment="1">
      <alignment horizontal="center"/>
    </xf>
    <xf numFmtId="164" fontId="1" fillId="0" borderId="0" xfId="0" applyFont="1" applyAlignment="1">
      <alignment horizontal="left"/>
    </xf>
    <xf numFmtId="164" fontId="4" fillId="0" borderId="0" xfId="0" applyFont="1" applyAlignment="1">
      <alignment/>
    </xf>
    <xf numFmtId="164" fontId="4" fillId="0" borderId="0" xfId="0" applyFont="1" applyAlignment="1">
      <alignment horizontal="center"/>
    </xf>
    <xf numFmtId="164" fontId="4" fillId="0" borderId="0" xfId="0" applyFont="1" applyAlignment="1">
      <alignment horizontal="left"/>
    </xf>
    <xf numFmtId="165" fontId="4" fillId="0" borderId="0" xfId="0" applyNumberFormat="1" applyFont="1" applyAlignment="1">
      <alignment/>
    </xf>
    <xf numFmtId="167" fontId="4" fillId="0" borderId="0" xfId="0" applyNumberFormat="1" applyFont="1" applyAlignment="1">
      <alignment horizontal="center"/>
    </xf>
    <xf numFmtId="164" fontId="4" fillId="0" borderId="0" xfId="0" applyFont="1" applyAlignment="1">
      <alignment wrapText="1"/>
    </xf>
    <xf numFmtId="164" fontId="4" fillId="0" borderId="0" xfId="0" applyFont="1" applyAlignment="1">
      <alignment horizontal="left" wrapText="1"/>
    </xf>
    <xf numFmtId="164" fontId="5" fillId="0" borderId="0" xfId="0" applyFont="1" applyAlignment="1">
      <alignment/>
    </xf>
    <xf numFmtId="164" fontId="6" fillId="0" borderId="0" xfId="0" applyFont="1" applyBorder="1" applyAlignment="1">
      <alignment/>
    </xf>
    <xf numFmtId="164" fontId="6" fillId="0" borderId="0" xfId="0" applyFont="1" applyBorder="1" applyAlignment="1">
      <alignment horizontal="center"/>
    </xf>
    <xf numFmtId="165" fontId="6" fillId="0" borderId="0" xfId="0" applyNumberFormat="1" applyFont="1" applyBorder="1" applyAlignment="1">
      <alignment horizontal="center"/>
    </xf>
    <xf numFmtId="164" fontId="6" fillId="0" borderId="0" xfId="0" applyFont="1" applyAlignment="1">
      <alignment horizontal="center" wrapText="1"/>
    </xf>
    <xf numFmtId="164" fontId="6" fillId="0" borderId="0" xfId="0" applyFont="1" applyAlignment="1">
      <alignment horizontal="left" wrapText="1"/>
    </xf>
    <xf numFmtId="164" fontId="6" fillId="0" borderId="0" xfId="0" applyFont="1" applyAlignment="1">
      <alignment horizontal="left"/>
    </xf>
    <xf numFmtId="164" fontId="6" fillId="0" borderId="0" xfId="0" applyFont="1" applyAlignment="1">
      <alignment horizontal="center"/>
    </xf>
    <xf numFmtId="167" fontId="6" fillId="0" borderId="0" xfId="0" applyNumberFormat="1" applyFont="1" applyBorder="1" applyAlignment="1">
      <alignment horizontal="center"/>
    </xf>
    <xf numFmtId="164" fontId="4" fillId="0" borderId="1" xfId="0" applyFont="1" applyBorder="1" applyAlignment="1">
      <alignment/>
    </xf>
    <xf numFmtId="164" fontId="6" fillId="0" borderId="2" xfId="0" applyFont="1" applyBorder="1" applyAlignment="1">
      <alignment horizontal="center"/>
    </xf>
    <xf numFmtId="165" fontId="4" fillId="0" borderId="2" xfId="0" applyNumberFormat="1" applyFont="1" applyBorder="1" applyAlignment="1">
      <alignment horizontal="center"/>
    </xf>
    <xf numFmtId="164" fontId="4" fillId="0" borderId="2" xfId="0" applyFont="1" applyBorder="1" applyAlignment="1">
      <alignment horizontal="center"/>
    </xf>
    <xf numFmtId="164" fontId="4" fillId="0" borderId="2" xfId="0" applyFont="1" applyBorder="1" applyAlignment="1">
      <alignment wrapText="1"/>
    </xf>
    <xf numFmtId="164" fontId="6" fillId="0" borderId="3" xfId="0" applyFont="1" applyBorder="1" applyAlignment="1">
      <alignment horizontal="left" wrapText="1"/>
    </xf>
    <xf numFmtId="164" fontId="4" fillId="0" borderId="0" xfId="0" applyFont="1" applyAlignment="1">
      <alignment horizontal="center" wrapText="1"/>
    </xf>
    <xf numFmtId="165" fontId="4" fillId="0" borderId="0" xfId="0" applyNumberFormat="1" applyFont="1" applyAlignment="1">
      <alignment horizontal="center" wrapText="1"/>
    </xf>
    <xf numFmtId="167" fontId="4" fillId="0" borderId="0" xfId="0" applyNumberFormat="1" applyFont="1" applyAlignment="1">
      <alignment horizontal="center" wrapText="1"/>
    </xf>
    <xf numFmtId="164" fontId="7" fillId="0" borderId="0" xfId="0" applyFont="1" applyBorder="1" applyAlignment="1">
      <alignment/>
    </xf>
    <xf numFmtId="164" fontId="6" fillId="0" borderId="0" xfId="0" applyFont="1" applyBorder="1" applyAlignment="1">
      <alignment horizontal="center" wrapText="1"/>
    </xf>
    <xf numFmtId="165" fontId="6" fillId="0" borderId="0" xfId="0" applyNumberFormat="1" applyFont="1" applyBorder="1" applyAlignment="1">
      <alignment horizontal="center" wrapText="1"/>
    </xf>
    <xf numFmtId="164" fontId="4" fillId="0" borderId="1" xfId="0" applyFont="1" applyBorder="1" applyAlignment="1">
      <alignment wrapText="1"/>
    </xf>
    <xf numFmtId="164" fontId="4" fillId="0" borderId="2" xfId="0" applyFont="1" applyBorder="1" applyAlignment="1">
      <alignment horizontal="center" wrapText="1"/>
    </xf>
    <xf numFmtId="165" fontId="4" fillId="0" borderId="2" xfId="0" applyNumberFormat="1" applyFont="1" applyBorder="1" applyAlignment="1">
      <alignment horizontal="center" wrapText="1"/>
    </xf>
    <xf numFmtId="164" fontId="4" fillId="0" borderId="3" xfId="0" applyFont="1" applyBorder="1" applyAlignment="1">
      <alignment wrapText="1"/>
    </xf>
    <xf numFmtId="164" fontId="4" fillId="0" borderId="0" xfId="0" applyFont="1" applyBorder="1" applyAlignment="1">
      <alignment horizontal="center" wrapText="1"/>
    </xf>
    <xf numFmtId="164" fontId="5" fillId="0" borderId="0" xfId="0" applyFont="1" applyAlignment="1">
      <alignment horizontal="center" wrapText="1"/>
    </xf>
    <xf numFmtId="164" fontId="4" fillId="0" borderId="0" xfId="0" applyFont="1" applyBorder="1" applyAlignment="1">
      <alignment wrapText="1"/>
    </xf>
    <xf numFmtId="164" fontId="4" fillId="0" borderId="0" xfId="0" applyFont="1" applyBorder="1" applyAlignment="1">
      <alignment/>
    </xf>
    <xf numFmtId="164" fontId="1" fillId="0" borderId="0" xfId="0" applyFont="1" applyAlignment="1">
      <alignment horizontal="left" wrapText="1"/>
    </xf>
    <xf numFmtId="164" fontId="2" fillId="0" borderId="0" xfId="0" applyFont="1" applyAlignment="1">
      <alignment horizontal="left" wrapText="1"/>
    </xf>
    <xf numFmtId="164" fontId="9"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12.57421875" defaultRowHeight="12.75"/>
  <cols>
    <col min="1" max="1" width="11.00390625" style="1" customWidth="1"/>
    <col min="2" max="7" width="3.8515625" style="2" customWidth="1"/>
    <col min="8" max="8" width="5.140625" style="1" customWidth="1"/>
    <col min="9" max="9" width="5.00390625" style="1" customWidth="1"/>
    <col min="10" max="10" width="4.8515625" style="1" customWidth="1"/>
    <col min="11" max="16384" width="11.57421875" style="1" customWidth="1"/>
  </cols>
  <sheetData>
    <row r="1" spans="1:7" ht="11.25">
      <c r="A1" s="3" t="s">
        <v>0</v>
      </c>
      <c r="G1" s="4"/>
    </row>
    <row r="2" ht="11.25">
      <c r="A2" s="3"/>
    </row>
    <row r="3" spans="1:7" ht="12">
      <c r="A3" s="3" t="s">
        <v>1</v>
      </c>
      <c r="B3" s="5" t="s">
        <v>2</v>
      </c>
      <c r="C3" s="4" t="s">
        <v>3</v>
      </c>
      <c r="D3" s="4" t="s">
        <v>4</v>
      </c>
      <c r="E3" s="4" t="s">
        <v>5</v>
      </c>
      <c r="F3" s="4" t="s">
        <v>6</v>
      </c>
      <c r="G3" s="4" t="s">
        <v>7</v>
      </c>
    </row>
    <row r="4" spans="1:7" ht="12">
      <c r="A4" s="1" t="s">
        <v>8</v>
      </c>
      <c r="B4" s="6">
        <v>15</v>
      </c>
      <c r="C4" s="2">
        <v>14</v>
      </c>
      <c r="D4" s="2">
        <v>12</v>
      </c>
      <c r="E4" s="2">
        <v>13</v>
      </c>
      <c r="F4" s="2">
        <v>8</v>
      </c>
      <c r="G4" s="2">
        <v>10</v>
      </c>
    </row>
    <row r="5" spans="1:7" ht="12">
      <c r="A5" s="1" t="s">
        <v>9</v>
      </c>
      <c r="B5" s="6">
        <v>15</v>
      </c>
      <c r="C5" s="2">
        <v>13</v>
      </c>
      <c r="D5" s="2">
        <v>14</v>
      </c>
      <c r="E5" s="2">
        <v>10</v>
      </c>
      <c r="F5" s="2">
        <v>12</v>
      </c>
      <c r="G5" s="2">
        <v>8</v>
      </c>
    </row>
    <row r="6" spans="1:7" ht="12">
      <c r="A6" s="1" t="s">
        <v>10</v>
      </c>
      <c r="B6" s="6">
        <v>12</v>
      </c>
      <c r="C6" s="2">
        <v>15</v>
      </c>
      <c r="D6" s="2">
        <v>13</v>
      </c>
      <c r="E6" s="2">
        <v>14</v>
      </c>
      <c r="F6" s="2">
        <v>10</v>
      </c>
      <c r="G6" s="2">
        <v>8</v>
      </c>
    </row>
    <row r="7" spans="1:7" ht="12">
      <c r="A7" s="1" t="s">
        <v>11</v>
      </c>
      <c r="B7" s="6">
        <v>10</v>
      </c>
      <c r="C7" s="2">
        <v>14</v>
      </c>
      <c r="D7" s="2">
        <v>13</v>
      </c>
      <c r="E7" s="2">
        <v>15</v>
      </c>
      <c r="F7" s="2">
        <v>12</v>
      </c>
      <c r="G7" s="2">
        <v>8</v>
      </c>
    </row>
    <row r="10" ht="11.25">
      <c r="A10" s="3" t="s">
        <v>12</v>
      </c>
    </row>
    <row r="12" spans="1:7" ht="12">
      <c r="A12" s="3" t="s">
        <v>1</v>
      </c>
      <c r="B12" s="5" t="s">
        <v>2</v>
      </c>
      <c r="C12" s="4" t="s">
        <v>3</v>
      </c>
      <c r="D12" s="4" t="s">
        <v>4</v>
      </c>
      <c r="E12" s="4" t="s">
        <v>5</v>
      </c>
      <c r="F12" s="4" t="s">
        <v>6</v>
      </c>
      <c r="G12" s="4" t="s">
        <v>7</v>
      </c>
    </row>
    <row r="13" spans="1:7" ht="12">
      <c r="A13" s="1" t="s">
        <v>8</v>
      </c>
      <c r="B13" s="7">
        <f>TRUNC(B4/2)-5</f>
        <v>2</v>
      </c>
      <c r="C13" s="7">
        <f>TRUNC(C4/2)-5</f>
        <v>2</v>
      </c>
      <c r="D13" s="7">
        <f>TRUNC(D4/2)-5</f>
        <v>1</v>
      </c>
      <c r="E13" s="7">
        <f>TRUNC(E4/2)-5</f>
        <v>1</v>
      </c>
      <c r="F13" s="7">
        <f>TRUNC(F4/2)-5</f>
        <v>-1</v>
      </c>
      <c r="G13" s="7">
        <f>TRUNC(G4/2)-5</f>
        <v>0</v>
      </c>
    </row>
    <row r="14" spans="1:7" ht="12">
      <c r="A14" s="1" t="s">
        <v>9</v>
      </c>
      <c r="B14" s="7">
        <f>TRUNC(B5/2)-5</f>
        <v>2</v>
      </c>
      <c r="C14" s="7">
        <f>TRUNC(C5/2)-5</f>
        <v>1</v>
      </c>
      <c r="D14" s="7">
        <f>TRUNC(D5/2)-5</f>
        <v>2</v>
      </c>
      <c r="E14" s="7">
        <f>TRUNC(E5/2)-5</f>
        <v>0</v>
      </c>
      <c r="F14" s="7">
        <f>TRUNC(F5/2)-5</f>
        <v>1</v>
      </c>
      <c r="G14" s="7">
        <f>TRUNC(G5/2)-5</f>
        <v>-1</v>
      </c>
    </row>
    <row r="15" spans="1:7" ht="12">
      <c r="A15" s="1" t="s">
        <v>10</v>
      </c>
      <c r="B15" s="7">
        <f>TRUNC(B6/2)-5</f>
        <v>1</v>
      </c>
      <c r="C15" s="7">
        <f>TRUNC(C6/2)-5</f>
        <v>2</v>
      </c>
      <c r="D15" s="7">
        <f>TRUNC(D6/2)-5</f>
        <v>1</v>
      </c>
      <c r="E15" s="7">
        <f>TRUNC(E6/2)-5</f>
        <v>2</v>
      </c>
      <c r="F15" s="7">
        <f>TRUNC(F6/2)-5</f>
        <v>0</v>
      </c>
      <c r="G15" s="7">
        <f>TRUNC(G6/2)-5</f>
        <v>-1</v>
      </c>
    </row>
    <row r="16" spans="1:7" ht="12">
      <c r="A16" s="1" t="s">
        <v>11</v>
      </c>
      <c r="B16" s="7">
        <f>TRUNC(B7/2)-5</f>
        <v>0</v>
      </c>
      <c r="C16" s="7">
        <f>TRUNC(C7/2)-5</f>
        <v>2</v>
      </c>
      <c r="D16" s="7">
        <f>TRUNC(D7/2)-5</f>
        <v>1</v>
      </c>
      <c r="E16" s="7">
        <f>TRUNC(E7/2)-5</f>
        <v>2</v>
      </c>
      <c r="F16" s="7">
        <f>TRUNC(F7/2)-5</f>
        <v>1</v>
      </c>
      <c r="G16" s="7">
        <f>TRUNC(G7/2)-5</f>
        <v>-1</v>
      </c>
    </row>
  </sheetData>
  <printOptions/>
  <pageMargins left="0.5" right="0.5" top="0.7375" bottom="0.7375" header="0.5" footer="0.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2.57421875" defaultRowHeight="12.75"/>
  <cols>
    <col min="1" max="1" width="9.00390625" style="1" customWidth="1"/>
    <col min="2" max="2" width="72.00390625" style="8" customWidth="1"/>
    <col min="3" max="16384" width="11.57421875" style="1" customWidth="1"/>
  </cols>
  <sheetData>
    <row r="1" ht="11.25">
      <c r="A1" s="3" t="s">
        <v>13</v>
      </c>
    </row>
    <row r="3" spans="1:2" ht="12">
      <c r="A3" s="3" t="s">
        <v>1</v>
      </c>
      <c r="B3" s="9" t="s">
        <v>14</v>
      </c>
    </row>
    <row r="4" spans="1:2" ht="23.25">
      <c r="A4" s="1" t="s">
        <v>8</v>
      </c>
      <c r="B4" s="8" t="s">
        <v>15</v>
      </c>
    </row>
    <row r="5" spans="1:2" ht="23.25">
      <c r="A5" s="1" t="s">
        <v>9</v>
      </c>
      <c r="B5" s="8" t="s">
        <v>16</v>
      </c>
    </row>
    <row r="6" spans="1:2" ht="23.25">
      <c r="A6" s="1" t="s">
        <v>10</v>
      </c>
      <c r="B6" s="8" t="s">
        <v>17</v>
      </c>
    </row>
    <row r="7" spans="1:2" ht="12">
      <c r="A7" s="1" t="s">
        <v>11</v>
      </c>
      <c r="B7" s="8" t="s">
        <v>18</v>
      </c>
    </row>
  </sheetData>
  <printOptions/>
  <pageMargins left="0.5" right="0.5" top="0.7375" bottom="0.7375" header="0.5" footer="0.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12.57421875" defaultRowHeight="12.75"/>
  <cols>
    <col min="1" max="1" width="9.00390625" style="1" customWidth="1"/>
    <col min="2" max="2" width="39.28125" style="1" customWidth="1"/>
    <col min="3" max="5" width="6.421875" style="2" customWidth="1"/>
    <col min="6" max="16384" width="11.57421875" style="1" customWidth="1"/>
  </cols>
  <sheetData>
    <row r="1" ht="11.25">
      <c r="A1" s="3" t="s">
        <v>19</v>
      </c>
    </row>
    <row r="2" spans="3:5" ht="11.25">
      <c r="C2" s="4" t="s">
        <v>20</v>
      </c>
      <c r="D2" s="4" t="s">
        <v>21</v>
      </c>
      <c r="E2" s="4" t="s">
        <v>22</v>
      </c>
    </row>
    <row r="3" spans="1:5" ht="11.25">
      <c r="A3" s="3" t="s">
        <v>1</v>
      </c>
      <c r="B3" s="10" t="s">
        <v>23</v>
      </c>
      <c r="C3" s="4" t="s">
        <v>24</v>
      </c>
      <c r="D3" s="4" t="s">
        <v>24</v>
      </c>
      <c r="E3" s="4" t="s">
        <v>3</v>
      </c>
    </row>
    <row r="4" spans="1:5" ht="11.25">
      <c r="A4" s="1" t="s">
        <v>8</v>
      </c>
      <c r="B4" s="11" t="s">
        <v>25</v>
      </c>
      <c r="C4" s="12">
        <v>5</v>
      </c>
      <c r="D4" s="12">
        <v>2</v>
      </c>
      <c r="E4" s="12">
        <v>2</v>
      </c>
    </row>
    <row r="5" spans="1:5" ht="11.25">
      <c r="A5" s="1" t="s">
        <v>9</v>
      </c>
      <c r="B5" s="11" t="s">
        <v>26</v>
      </c>
      <c r="C5" s="12">
        <v>7</v>
      </c>
      <c r="D5" s="12">
        <v>0</v>
      </c>
      <c r="E5" s="12">
        <v>0</v>
      </c>
    </row>
    <row r="6" spans="1:5" ht="11.25">
      <c r="A6" s="1" t="s">
        <v>10</v>
      </c>
      <c r="B6" s="11" t="s">
        <v>27</v>
      </c>
      <c r="C6" s="12">
        <v>3</v>
      </c>
      <c r="D6" s="12">
        <v>0</v>
      </c>
      <c r="E6" s="12">
        <v>5</v>
      </c>
    </row>
    <row r="7" spans="1:5" ht="11.25">
      <c r="A7" s="1" t="s">
        <v>11</v>
      </c>
      <c r="B7" s="11" t="s">
        <v>28</v>
      </c>
      <c r="C7" s="12">
        <v>0</v>
      </c>
      <c r="D7" s="12">
        <v>0</v>
      </c>
      <c r="E7" s="12" t="s">
        <v>29</v>
      </c>
    </row>
    <row r="9" ht="11.25">
      <c r="A9" s="13"/>
    </row>
  </sheetData>
  <printOptions/>
  <pageMargins left="0.5" right="0.5" top="0.7375" bottom="0.7375" header="0.5" footer="0.5"/>
  <pageSetup horizontalDpi="300" verticalDpi="300"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N53"/>
  <sheetViews>
    <sheetView workbookViewId="0" topLeftCell="A1">
      <selection activeCell="A1" sqref="A1"/>
    </sheetView>
  </sheetViews>
  <sheetFormatPr defaultColWidth="12.57421875" defaultRowHeight="12.75"/>
  <cols>
    <col min="1" max="1" width="6.140625" style="2" customWidth="1"/>
    <col min="2" max="3" width="7.28125" style="2" customWidth="1"/>
    <col min="4" max="4" width="7.00390625" style="2" customWidth="1"/>
    <col min="5" max="5" width="6.8515625" style="12" customWidth="1"/>
    <col min="6" max="7" width="8.57421875" style="12" customWidth="1"/>
    <col min="8" max="8" width="7.28125" style="12" customWidth="1"/>
    <col min="9" max="9" width="8.421875" style="12" customWidth="1"/>
    <col min="10" max="10" width="14.57421875" style="2" customWidth="1"/>
    <col min="11" max="11" width="10.28125" style="2" customWidth="1"/>
    <col min="12" max="12" width="8.421875" style="2" customWidth="1"/>
    <col min="13" max="13" width="14.57421875" style="2" customWidth="1"/>
    <col min="14" max="14" width="10.28125" style="2" customWidth="1"/>
    <col min="15" max="255" width="11.57421875" style="2" customWidth="1"/>
    <col min="256" max="16384" width="11.57421875" style="1" customWidth="1"/>
  </cols>
  <sheetData>
    <row r="1" ht="11.25">
      <c r="A1" s="14" t="s">
        <v>30</v>
      </c>
    </row>
    <row r="3" spans="1:10" ht="11.25">
      <c r="A3" s="4"/>
      <c r="B3" s="4" t="s">
        <v>31</v>
      </c>
      <c r="C3" s="4" t="s">
        <v>32</v>
      </c>
      <c r="D3" s="15"/>
      <c r="E3" s="15"/>
      <c r="F3" s="15" t="s">
        <v>33</v>
      </c>
      <c r="G3" s="15" t="s">
        <v>34</v>
      </c>
      <c r="H3" s="4"/>
      <c r="I3" s="4"/>
      <c r="J3" s="4"/>
    </row>
    <row r="4" spans="1:11" ht="11.25">
      <c r="A4" s="4" t="s">
        <v>35</v>
      </c>
      <c r="B4" s="4" t="s">
        <v>36</v>
      </c>
      <c r="C4" s="4" t="s">
        <v>37</v>
      </c>
      <c r="D4" s="15" t="s">
        <v>20</v>
      </c>
      <c r="E4" s="15" t="s">
        <v>21</v>
      </c>
      <c r="F4" s="15" t="s">
        <v>38</v>
      </c>
      <c r="G4" s="15" t="s">
        <v>38</v>
      </c>
      <c r="H4" s="16" t="s">
        <v>31</v>
      </c>
      <c r="I4" s="16" t="s">
        <v>39</v>
      </c>
      <c r="J4" s="4" t="s">
        <v>40</v>
      </c>
      <c r="K4" s="4"/>
    </row>
    <row r="5" spans="1:10" ht="11.25">
      <c r="A5" s="2">
        <v>1</v>
      </c>
      <c r="B5" s="2">
        <v>150</v>
      </c>
      <c r="C5" s="17">
        <f>B5-500</f>
        <v>-350</v>
      </c>
      <c r="D5" s="12" t="s">
        <v>29</v>
      </c>
      <c r="E5" s="12" t="s">
        <v>29</v>
      </c>
      <c r="F5" s="12" t="s">
        <v>29</v>
      </c>
      <c r="G5" s="12" t="s">
        <v>29</v>
      </c>
      <c r="H5" s="17">
        <f>(D5^2+E5^2+2*F5^2+2*G5^2)*1000</f>
        <v>0</v>
      </c>
      <c r="I5" s="17">
        <f>C5-H5</f>
        <v>-350</v>
      </c>
      <c r="J5" s="2" t="b">
        <f>IF(I5&gt;0,TRUE)</f>
        <v>0</v>
      </c>
    </row>
    <row r="6" spans="1:10" ht="11.25">
      <c r="A6" s="2">
        <v>2</v>
      </c>
      <c r="B6" s="17">
        <v>900</v>
      </c>
      <c r="C6" s="17">
        <f>B6-500</f>
        <v>400</v>
      </c>
      <c r="D6" s="12" t="s">
        <v>29</v>
      </c>
      <c r="E6" s="12" t="s">
        <v>29</v>
      </c>
      <c r="F6" s="12" t="s">
        <v>29</v>
      </c>
      <c r="G6" s="12" t="s">
        <v>29</v>
      </c>
      <c r="H6" s="17">
        <f>(D6^2+E6^2+2*F6^2+2*G6^2)*1000</f>
        <v>0</v>
      </c>
      <c r="I6" s="17">
        <f>C6-H6</f>
        <v>400</v>
      </c>
      <c r="J6" s="2" t="b">
        <f>IF(I6&gt;0,TRUE)</f>
        <v>1</v>
      </c>
    </row>
    <row r="7" spans="1:10" ht="11.25">
      <c r="A7" s="2">
        <v>3</v>
      </c>
      <c r="B7" s="17">
        <v>2700</v>
      </c>
      <c r="C7" s="17">
        <f>B7-500</f>
        <v>2200</v>
      </c>
      <c r="D7" s="12">
        <v>1</v>
      </c>
      <c r="E7" s="12">
        <v>1</v>
      </c>
      <c r="F7" s="12" t="s">
        <v>29</v>
      </c>
      <c r="G7" s="12" t="s">
        <v>29</v>
      </c>
      <c r="H7" s="17">
        <f>(D7^2+E7^2+2*F7^2+2*G7^2)*1000</f>
        <v>2000</v>
      </c>
      <c r="I7" s="17">
        <f>C7-H7</f>
        <v>200</v>
      </c>
      <c r="J7" s="2" t="b">
        <f>IF(I7&gt;0,TRUE)</f>
        <v>1</v>
      </c>
    </row>
    <row r="8" spans="1:10" ht="11.25">
      <c r="A8" s="2">
        <v>4</v>
      </c>
      <c r="B8" s="17">
        <v>5400</v>
      </c>
      <c r="C8" s="17">
        <f>B8-500</f>
        <v>4900</v>
      </c>
      <c r="D8" s="12">
        <v>1</v>
      </c>
      <c r="E8" s="12">
        <v>1</v>
      </c>
      <c r="F8" s="12">
        <v>1</v>
      </c>
      <c r="G8" s="12" t="s">
        <v>29</v>
      </c>
      <c r="H8" s="17">
        <f>(D8^2+E8^2+2*F8^2+2*G8^2)*1000</f>
        <v>4000</v>
      </c>
      <c r="I8" s="17">
        <f>C8-H8</f>
        <v>900</v>
      </c>
      <c r="J8" s="2" t="b">
        <f>IF(I8&gt;0,TRUE)</f>
        <v>1</v>
      </c>
    </row>
    <row r="9" spans="1:10" ht="11.25">
      <c r="A9" s="2">
        <v>5</v>
      </c>
      <c r="B9" s="17">
        <v>9000</v>
      </c>
      <c r="C9" s="17">
        <f>B9-500</f>
        <v>8500</v>
      </c>
      <c r="D9" s="12">
        <v>2</v>
      </c>
      <c r="E9" s="12">
        <v>1</v>
      </c>
      <c r="F9" s="12">
        <v>1</v>
      </c>
      <c r="G9" s="12" t="s">
        <v>29</v>
      </c>
      <c r="H9" s="17">
        <f>(D9^2+E9^2+2*F9^2+2*G9^2)*1000</f>
        <v>7000</v>
      </c>
      <c r="I9" s="17">
        <f>C9-H9</f>
        <v>1500</v>
      </c>
      <c r="J9" s="2" t="b">
        <f>IF(I9&gt;0,TRUE)</f>
        <v>1</v>
      </c>
    </row>
    <row r="10" spans="1:10" ht="11.25">
      <c r="A10" s="2">
        <v>6</v>
      </c>
      <c r="B10" s="17">
        <v>13000</v>
      </c>
      <c r="C10" s="17">
        <f>B10-500</f>
        <v>12500</v>
      </c>
      <c r="D10" s="12">
        <v>2</v>
      </c>
      <c r="E10" s="12">
        <v>1</v>
      </c>
      <c r="F10" s="12">
        <v>1</v>
      </c>
      <c r="G10" s="12">
        <v>1</v>
      </c>
      <c r="H10" s="17">
        <f>(D10^2+E10^2+2*F10^2+2*G10^2)*1000</f>
        <v>9000</v>
      </c>
      <c r="I10" s="17">
        <f>C10-H10</f>
        <v>3500</v>
      </c>
      <c r="J10" s="2" t="b">
        <f>IF(I10&gt;0,TRUE)</f>
        <v>1</v>
      </c>
    </row>
    <row r="11" spans="1:10" ht="11.25">
      <c r="A11" s="2">
        <v>7</v>
      </c>
      <c r="B11" s="17">
        <v>19000</v>
      </c>
      <c r="C11" s="17">
        <f>B11-500</f>
        <v>18500</v>
      </c>
      <c r="D11" s="12">
        <v>3</v>
      </c>
      <c r="E11" s="12">
        <v>2</v>
      </c>
      <c r="F11" s="12">
        <v>1</v>
      </c>
      <c r="G11" s="12">
        <v>1</v>
      </c>
      <c r="H11" s="17">
        <f>(D11^2+E11^2+2*F11^2+2*G11^2)*1000</f>
        <v>17000</v>
      </c>
      <c r="I11" s="17">
        <f>C11-H11</f>
        <v>1500</v>
      </c>
      <c r="J11" s="2" t="b">
        <f>IF(I11&gt;0,TRUE)</f>
        <v>1</v>
      </c>
    </row>
    <row r="12" spans="1:10" ht="11.25">
      <c r="A12" s="2">
        <v>8</v>
      </c>
      <c r="B12" s="17">
        <v>27000</v>
      </c>
      <c r="C12" s="17">
        <f>B12-500</f>
        <v>26500</v>
      </c>
      <c r="D12" s="12">
        <v>3</v>
      </c>
      <c r="E12" s="12">
        <v>2</v>
      </c>
      <c r="F12" s="12">
        <v>2</v>
      </c>
      <c r="G12" s="12">
        <v>1</v>
      </c>
      <c r="H12" s="17">
        <f>(D12^2+E12^2+2*F12^2+2*G12^2)*1000</f>
        <v>23000</v>
      </c>
      <c r="I12" s="17">
        <f>C12-H12</f>
        <v>3500</v>
      </c>
      <c r="J12" s="2" t="b">
        <f>IF(I12&gt;0,TRUE)</f>
        <v>1</v>
      </c>
    </row>
    <row r="13" spans="1:10" ht="11.25">
      <c r="A13" s="2">
        <v>9</v>
      </c>
      <c r="B13" s="17">
        <v>36000</v>
      </c>
      <c r="C13" s="17">
        <f>B13-500</f>
        <v>35500</v>
      </c>
      <c r="D13" s="12">
        <v>3</v>
      </c>
      <c r="E13" s="12">
        <v>3</v>
      </c>
      <c r="F13" s="12">
        <v>2</v>
      </c>
      <c r="G13" s="12">
        <v>2</v>
      </c>
      <c r="H13" s="17">
        <f>(D13^2+E13^2+2*F13^2+2*G13^2)*1000</f>
        <v>34000</v>
      </c>
      <c r="I13" s="17">
        <f>C13-H13</f>
        <v>1500</v>
      </c>
      <c r="J13" s="2" t="b">
        <f>IF(I13&gt;0,TRUE)</f>
        <v>1</v>
      </c>
    </row>
    <row r="14" spans="1:10" ht="11.25">
      <c r="A14" s="2">
        <v>10</v>
      </c>
      <c r="B14" s="17">
        <v>49000</v>
      </c>
      <c r="C14" s="17">
        <f>B14-500</f>
        <v>48500</v>
      </c>
      <c r="D14" s="12">
        <v>3</v>
      </c>
      <c r="E14" s="12">
        <v>3</v>
      </c>
      <c r="F14" s="12">
        <v>3</v>
      </c>
      <c r="G14" s="12">
        <v>2</v>
      </c>
      <c r="H14" s="17">
        <f>(D14^2+E14^2+2*F14^2+2*G14^2)*1000</f>
        <v>44000</v>
      </c>
      <c r="I14" s="17">
        <f>C14-H14</f>
        <v>4500</v>
      </c>
      <c r="J14" s="2" t="b">
        <f>IF(I14&gt;0,TRUE)</f>
        <v>1</v>
      </c>
    </row>
    <row r="15" spans="1:10" ht="11.25">
      <c r="A15" s="2">
        <v>11</v>
      </c>
      <c r="B15" s="17">
        <v>66000</v>
      </c>
      <c r="C15" s="17">
        <f>B15-500</f>
        <v>65500</v>
      </c>
      <c r="D15" s="12">
        <v>4</v>
      </c>
      <c r="E15" s="12">
        <v>3</v>
      </c>
      <c r="F15" s="12">
        <v>3</v>
      </c>
      <c r="G15" s="12">
        <v>3</v>
      </c>
      <c r="H15" s="17">
        <f>(D15^2+E15^2+2*F15^2+2*G15^2)*1000</f>
        <v>61000</v>
      </c>
      <c r="I15" s="17">
        <f>C15-H15</f>
        <v>4500</v>
      </c>
      <c r="J15" s="2" t="b">
        <f>IF(I15&gt;0,TRUE)</f>
        <v>1</v>
      </c>
    </row>
    <row r="16" spans="1:10" ht="11.25">
      <c r="A16" s="2">
        <v>12</v>
      </c>
      <c r="B16" s="17">
        <v>88000</v>
      </c>
      <c r="C16" s="17">
        <f>B16-500</f>
        <v>87500</v>
      </c>
      <c r="D16" s="12">
        <v>4</v>
      </c>
      <c r="E16" s="12">
        <v>4</v>
      </c>
      <c r="F16" s="12">
        <v>4</v>
      </c>
      <c r="G16" s="12">
        <v>3</v>
      </c>
      <c r="H16" s="17">
        <f>(D16^2+E16^2+2*F16^2+2*G16^2)*1000</f>
        <v>82000</v>
      </c>
      <c r="I16" s="17">
        <f>C16-H16</f>
        <v>5500</v>
      </c>
      <c r="J16" s="2" t="b">
        <f>IF(I16&gt;0,TRUE)</f>
        <v>1</v>
      </c>
    </row>
    <row r="17" spans="2:10" ht="11.25">
      <c r="B17" s="17"/>
      <c r="C17" s="17"/>
      <c r="D17" s="17"/>
      <c r="J17" s="17"/>
    </row>
    <row r="18" spans="1:10" ht="11.25">
      <c r="A18" s="18" t="s">
        <v>41</v>
      </c>
      <c r="B18" s="17"/>
      <c r="C18" s="17"/>
      <c r="D18" s="17"/>
      <c r="J18" s="17"/>
    </row>
    <row r="21" ht="11.25">
      <c r="A21" s="14" t="s">
        <v>42</v>
      </c>
    </row>
    <row r="22" ht="11.25">
      <c r="A22" s="14"/>
    </row>
    <row r="23" spans="1:14" ht="11.25">
      <c r="A23" s="4"/>
      <c r="B23" s="4" t="s">
        <v>43</v>
      </c>
      <c r="C23" s="4" t="s">
        <v>44</v>
      </c>
      <c r="D23" s="4" t="s">
        <v>45</v>
      </c>
      <c r="E23" s="15" t="s">
        <v>46</v>
      </c>
      <c r="F23" s="1"/>
      <c r="G23" s="1"/>
      <c r="I23" s="4" t="s">
        <v>44</v>
      </c>
      <c r="J23" s="4" t="s">
        <v>45</v>
      </c>
      <c r="K23" s="4" t="s">
        <v>46</v>
      </c>
      <c r="L23" s="1"/>
      <c r="M23" s="1"/>
      <c r="N23" s="1"/>
    </row>
    <row r="24" spans="1:14" ht="11.25">
      <c r="A24" s="4" t="s">
        <v>35</v>
      </c>
      <c r="B24" s="4" t="s">
        <v>31</v>
      </c>
      <c r="C24" s="4" t="s">
        <v>35</v>
      </c>
      <c r="D24" s="4" t="s">
        <v>35</v>
      </c>
      <c r="E24" s="15" t="s">
        <v>35</v>
      </c>
      <c r="F24" s="15" t="s">
        <v>31</v>
      </c>
      <c r="G24" s="15" t="s">
        <v>39</v>
      </c>
      <c r="H24" s="15" t="s">
        <v>40</v>
      </c>
      <c r="I24" s="4" t="s">
        <v>47</v>
      </c>
      <c r="J24" s="4" t="s">
        <v>47</v>
      </c>
      <c r="K24" s="4" t="s">
        <v>47</v>
      </c>
      <c r="L24" s="1"/>
      <c r="M24" s="1"/>
      <c r="N24" s="1"/>
    </row>
    <row r="25" spans="1:14" ht="11.25">
      <c r="A25" s="2">
        <v>1</v>
      </c>
      <c r="B25" s="17">
        <f>(2*F5^2+2*G5^2)*1000</f>
        <v>0</v>
      </c>
      <c r="C25" s="2">
        <v>1</v>
      </c>
      <c r="D25" s="2" t="s">
        <v>29</v>
      </c>
      <c r="E25" s="19" t="s">
        <v>29</v>
      </c>
      <c r="F25" s="17">
        <f>0.7*(0.5*1500*D25^2+IF(C25="-",0,CHOOSE(C25,275,1456,4813))+IF(E25="-",0,CHOOSE(E25,4000,16000,36000)))</f>
        <v>192.50000000000003</v>
      </c>
      <c r="G25" s="17">
        <f>B25-F25</f>
        <v>-192.50000000000003</v>
      </c>
      <c r="H25" s="2" t="b">
        <f>IF(G25&gt;0,TRUE)</f>
        <v>0</v>
      </c>
      <c r="I25" s="2" t="str">
        <f>CHOOSE(C25,"minor","medium","major")</f>
        <v>minor</v>
      </c>
      <c r="J25" s="2" t="str">
        <f>IF(D25="-","-",CHOOSE(D25,"magic missile","acid arrow","lightning bolt","polymorph other"))</f>
        <v>-</v>
      </c>
      <c r="K25" s="2" t="str">
        <f>IF(E25="-","-",CHOOSE(E25,"bracers +2","bracers +4","bracers +6"))</f>
        <v>-</v>
      </c>
      <c r="L25" s="1"/>
      <c r="M25" s="1"/>
      <c r="N25" s="1"/>
    </row>
    <row r="26" spans="1:14" ht="11.25">
      <c r="A26" s="2">
        <v>2</v>
      </c>
      <c r="B26" s="17">
        <f>(2*F6^2+2*G6^2)*1000</f>
        <v>0</v>
      </c>
      <c r="C26" s="2">
        <v>1</v>
      </c>
      <c r="D26" s="2" t="s">
        <v>29</v>
      </c>
      <c r="E26" s="19" t="s">
        <v>29</v>
      </c>
      <c r="F26" s="17">
        <f>0.7*(0.5*1500*D26^2+IF(C26="-",0,CHOOSE(C26,275,1456,4813))+IF(E26="-",0,CHOOSE(E26,4000,16000,36000)))</f>
        <v>192.50000000000003</v>
      </c>
      <c r="G26" s="17">
        <f>B26-F26</f>
        <v>-192.50000000000003</v>
      </c>
      <c r="H26" s="2" t="b">
        <f>IF(G26&gt;0,TRUE)</f>
        <v>0</v>
      </c>
      <c r="I26" s="2" t="str">
        <f>CHOOSE(C26,"minor","medium","major")</f>
        <v>minor</v>
      </c>
      <c r="J26" s="2" t="str">
        <f>IF(D26="-","-",CHOOSE(D26,"magic missile","acid arrow","lightning bolt","polymorph other"))</f>
        <v>-</v>
      </c>
      <c r="K26" s="2" t="str">
        <f>IF(E26="-","-",CHOOSE(E26,"bracers +2","bracers +4","bracers +6"))</f>
        <v>-</v>
      </c>
      <c r="L26" s="1"/>
      <c r="M26" s="1"/>
      <c r="N26" s="1"/>
    </row>
    <row r="27" spans="1:14" ht="11.25">
      <c r="A27" s="2">
        <v>3</v>
      </c>
      <c r="B27" s="17">
        <f>(2*F7^2+2*G7^2)*1000</f>
        <v>0</v>
      </c>
      <c r="C27" s="2">
        <v>1</v>
      </c>
      <c r="D27" s="2" t="s">
        <v>29</v>
      </c>
      <c r="E27" s="19" t="s">
        <v>29</v>
      </c>
      <c r="F27" s="17">
        <f>0.7*(0.5*1500*D27^2+IF(C27="-",0,CHOOSE(C27,275,1456,4813))+IF(E27="-",0,CHOOSE(E27,4000,16000,36000)))</f>
        <v>192.50000000000003</v>
      </c>
      <c r="G27" s="17">
        <f>B27-F27</f>
        <v>-192.50000000000003</v>
      </c>
      <c r="H27" s="2" t="b">
        <f>IF(G27&gt;0,TRUE)</f>
        <v>0</v>
      </c>
      <c r="I27" s="2" t="str">
        <f>CHOOSE(C27,"minor","medium","major")</f>
        <v>minor</v>
      </c>
      <c r="J27" s="2" t="str">
        <f>IF(D27="-","-",CHOOSE(D27,"magic missile","acid arrow","lightning bolt","polymorph other"))</f>
        <v>-</v>
      </c>
      <c r="K27" s="2" t="str">
        <f>IF(E27="-","-",CHOOSE(E27,"bracers +2","bracers +4","bracers +6"))</f>
        <v>-</v>
      </c>
      <c r="L27" s="1"/>
      <c r="M27" s="1"/>
      <c r="N27" s="1"/>
    </row>
    <row r="28" spans="1:14" ht="11.25">
      <c r="A28" s="2">
        <v>4</v>
      </c>
      <c r="B28" s="17">
        <f>(2*F8^2+2*G8^2)*1000</f>
        <v>2000</v>
      </c>
      <c r="C28" s="2">
        <v>2</v>
      </c>
      <c r="D28" s="2">
        <v>1</v>
      </c>
      <c r="E28" s="19" t="s">
        <v>29</v>
      </c>
      <c r="F28" s="17">
        <f>0.7*(0.5*1500*D28^2+IF(C28="-",0,CHOOSE(C28,275,1456,4813))+IF(E28="-",0,CHOOSE(E28,4000,16000,36000)))</f>
        <v>1544.2</v>
      </c>
      <c r="G28" s="17">
        <f>B28-F28</f>
        <v>455.79999999999995</v>
      </c>
      <c r="H28" s="2" t="b">
        <f>IF(G28&gt;0,TRUE)</f>
        <v>1</v>
      </c>
      <c r="I28" s="2" t="str">
        <f>CHOOSE(C28,"minor","medium","major")</f>
        <v>medium</v>
      </c>
      <c r="J28" s="2" t="str">
        <f>IF(D28="-","-",CHOOSE(D28,"magic missile","acid arrow","lightning bolt","polymorph other"))</f>
        <v>magic missile</v>
      </c>
      <c r="K28" s="2" t="str">
        <f>IF(E28="-","-",CHOOSE(E28,"bracers +2","bracers +4","bracers +6"))</f>
        <v>-</v>
      </c>
      <c r="L28" s="1"/>
      <c r="M28" s="1"/>
      <c r="N28" s="1"/>
    </row>
    <row r="29" spans="1:14" ht="11.25">
      <c r="A29" s="2">
        <v>5</v>
      </c>
      <c r="B29" s="17">
        <f>(2*F9^2+2*G9^2)*1000</f>
        <v>2000</v>
      </c>
      <c r="C29" s="2">
        <v>2</v>
      </c>
      <c r="D29" s="2">
        <v>1</v>
      </c>
      <c r="E29" s="19" t="s">
        <v>29</v>
      </c>
      <c r="F29" s="17">
        <f>0.7*(0.5*1500*D29^2+IF(C29="-",0,CHOOSE(C29,275,1456,4813))+IF(E29="-",0,CHOOSE(E29,4000,16000,36000)))</f>
        <v>1544.2</v>
      </c>
      <c r="G29" s="17">
        <f>B29-F29</f>
        <v>455.79999999999995</v>
      </c>
      <c r="H29" s="2" t="b">
        <f>IF(G29&gt;0,TRUE)</f>
        <v>1</v>
      </c>
      <c r="I29" s="2" t="str">
        <f>CHOOSE(C29,"minor","medium","major")</f>
        <v>medium</v>
      </c>
      <c r="J29" s="2" t="str">
        <f>IF(D29="-","-",CHOOSE(D29,"magic missile","acid arrow","lightning bolt","polymorph other"))</f>
        <v>magic missile</v>
      </c>
      <c r="K29" s="2" t="str">
        <f>IF(E29="-","-",CHOOSE(E29,"bracers +2","bracers +4","bracers +6"))</f>
        <v>-</v>
      </c>
      <c r="L29" s="1"/>
      <c r="M29" s="1"/>
      <c r="N29" s="1"/>
    </row>
    <row r="30" spans="1:14" ht="11.25">
      <c r="A30" s="2">
        <v>6</v>
      </c>
      <c r="B30" s="17">
        <f>(2*F10^2+2*G10^2)*1000</f>
        <v>4000</v>
      </c>
      <c r="C30" s="2">
        <v>2</v>
      </c>
      <c r="D30" s="2">
        <v>2</v>
      </c>
      <c r="E30" s="19" t="s">
        <v>29</v>
      </c>
      <c r="F30" s="17">
        <f>0.7*(0.5*1500*D30^2+IF(C30="-",0,CHOOSE(C30,275,1456,4813))+IF(E30="-",0,CHOOSE(E30,4000,16000,36000)))</f>
        <v>3119.2000000000003</v>
      </c>
      <c r="G30" s="17">
        <f>B30-F30</f>
        <v>880.7999999999997</v>
      </c>
      <c r="H30" s="2" t="b">
        <f>IF(G30&gt;0,TRUE)</f>
        <v>1</v>
      </c>
      <c r="I30" s="2" t="str">
        <f>CHOOSE(C30,"minor","medium","major")</f>
        <v>medium</v>
      </c>
      <c r="J30" s="2" t="str">
        <f>IF(D30="-","-",CHOOSE(D30,"magic missile","acid arrow","lightning bolt","polymorph other"))</f>
        <v>acid arrow</v>
      </c>
      <c r="K30" s="2" t="str">
        <f>IF(E30="-","-",CHOOSE(E30,"bracers +2","bracers +4","bracers +6"))</f>
        <v>-</v>
      </c>
      <c r="L30" s="1"/>
      <c r="M30" s="1"/>
      <c r="N30" s="1"/>
    </row>
    <row r="31" spans="1:14" ht="11.25">
      <c r="A31" s="2">
        <v>7</v>
      </c>
      <c r="B31" s="17">
        <f>(2*F11^2+2*G11^2)*1000</f>
        <v>4000</v>
      </c>
      <c r="C31" s="2">
        <v>2</v>
      </c>
      <c r="D31" s="2">
        <v>2</v>
      </c>
      <c r="E31" s="19" t="s">
        <v>29</v>
      </c>
      <c r="F31" s="17">
        <f>0.7*(0.5*1500*D31^2+IF(C31="-",0,CHOOSE(C31,275,1456,4813))+IF(E31="-",0,CHOOSE(E31,4000,16000,36000)))</f>
        <v>3119.2000000000003</v>
      </c>
      <c r="G31" s="17">
        <f>B31-F31</f>
        <v>880.7999999999997</v>
      </c>
      <c r="H31" s="2" t="b">
        <f>IF(G31&gt;0,TRUE)</f>
        <v>1</v>
      </c>
      <c r="I31" s="2" t="str">
        <f>CHOOSE(C31,"minor","medium","major")</f>
        <v>medium</v>
      </c>
      <c r="J31" s="2" t="str">
        <f>IF(D31="-","-",CHOOSE(D31,"magic missile","acid arrow","lightning bolt","polymorph other"))</f>
        <v>acid arrow</v>
      </c>
      <c r="K31" s="2" t="str">
        <f>IF(E31="-","-",CHOOSE(E31,"bracers +2","bracers +4","bracers +6"))</f>
        <v>-</v>
      </c>
      <c r="L31" s="1"/>
      <c r="M31" s="1"/>
      <c r="N31" s="1"/>
    </row>
    <row r="32" spans="1:14" ht="11.25">
      <c r="A32" s="2">
        <v>8</v>
      </c>
      <c r="B32" s="17">
        <f>(2*F12^2+2*G12^2)*1000</f>
        <v>10000</v>
      </c>
      <c r="C32" s="2">
        <v>3</v>
      </c>
      <c r="D32" s="2">
        <v>3</v>
      </c>
      <c r="E32" s="19" t="s">
        <v>29</v>
      </c>
      <c r="F32" s="17">
        <f>0.7*(0.5*1500*D32^2+IF(C32="-",0,CHOOSE(C32,275,1456,4813))+IF(E32="-",0,CHOOSE(E32,4000,16000,36000)))</f>
        <v>8094.1</v>
      </c>
      <c r="G32" s="17">
        <f>B32-F32</f>
        <v>1905.8999999999996</v>
      </c>
      <c r="H32" s="2" t="b">
        <f>IF(G32&gt;0,TRUE)</f>
        <v>1</v>
      </c>
      <c r="I32" s="2" t="str">
        <f>CHOOSE(C32,"minor","medium","major")</f>
        <v>major</v>
      </c>
      <c r="J32" s="2" t="str">
        <f>IF(D32="-","-",CHOOSE(D32,"magic missile","acid arrow","lightning bolt","polymorph other"))</f>
        <v>lightning bolt</v>
      </c>
      <c r="K32" s="2" t="str">
        <f>IF(E32="-","-",CHOOSE(E32,"bracers +2","bracers +4","bracers +6"))</f>
        <v>-</v>
      </c>
      <c r="L32" s="1"/>
      <c r="M32" s="1"/>
      <c r="N32" s="1"/>
    </row>
    <row r="33" spans="1:14" ht="11.25">
      <c r="A33" s="2">
        <v>9</v>
      </c>
      <c r="B33" s="17">
        <f>(2*F13^2+2*G13^2)*1000</f>
        <v>16000</v>
      </c>
      <c r="C33" s="2">
        <v>3</v>
      </c>
      <c r="D33" s="2">
        <v>3</v>
      </c>
      <c r="E33" s="19">
        <v>1</v>
      </c>
      <c r="F33" s="17">
        <f>0.7*(0.5*1500*D33^2+IF(C33="-",0,CHOOSE(C33,275,1456,4813))+IF(E33="-",0,CHOOSE(E33,4000,16000,36000)))</f>
        <v>10894.1</v>
      </c>
      <c r="G33" s="17">
        <f>B33-F33</f>
        <v>5105.9</v>
      </c>
      <c r="H33" s="2" t="b">
        <f>IF(G33&gt;0,TRUE)</f>
        <v>1</v>
      </c>
      <c r="I33" s="2" t="str">
        <f>CHOOSE(C33,"minor","medium","major")</f>
        <v>major</v>
      </c>
      <c r="J33" s="2" t="str">
        <f>IF(D33="-","-",CHOOSE(D33,"magic missile","acid arrow","lightning bolt","polymorph other"))</f>
        <v>lightning bolt</v>
      </c>
      <c r="K33" s="2" t="str">
        <f>IF(E33="-","-",CHOOSE(E33,"bracers +2","bracers +4","bracers +6"))</f>
        <v>bracers +2</v>
      </c>
      <c r="L33" s="1"/>
      <c r="M33" s="1"/>
      <c r="N33" s="1"/>
    </row>
    <row r="34" spans="1:14" ht="11.25">
      <c r="A34" s="2">
        <v>10</v>
      </c>
      <c r="B34" s="17">
        <f>(2*F14^2+2*G14^2)*1000</f>
        <v>26000</v>
      </c>
      <c r="C34" s="2">
        <v>3</v>
      </c>
      <c r="D34" s="2">
        <v>4</v>
      </c>
      <c r="E34" s="19">
        <v>2</v>
      </c>
      <c r="F34" s="17">
        <f>0.7*(0.5*1500*D34^2+IF(C34="-",0,CHOOSE(C34,275,1456,4813))+IF(E34="-",0,CHOOSE(E34,4000,16000,36000)))</f>
        <v>22969.100000000002</v>
      </c>
      <c r="G34" s="17">
        <f>B34-F34</f>
        <v>3030.899999999998</v>
      </c>
      <c r="H34" s="2" t="b">
        <f>IF(G34&gt;0,TRUE)</f>
        <v>1</v>
      </c>
      <c r="I34" s="2" t="str">
        <f>CHOOSE(C34,"minor","medium","major")</f>
        <v>major</v>
      </c>
      <c r="J34" s="2" t="str">
        <f>IF(D34="-","-",CHOOSE(D34,"magic missile","acid arrow","lightning bolt","polymorph other"))</f>
        <v>polymorph other</v>
      </c>
      <c r="K34" s="2" t="str">
        <f>IF(E34="-","-",CHOOSE(E34,"bracers +2","bracers +4","bracers +6"))</f>
        <v>bracers +4</v>
      </c>
      <c r="L34" s="1"/>
      <c r="M34" s="1"/>
      <c r="N34" s="1"/>
    </row>
    <row r="35" spans="1:14" ht="11.25">
      <c r="A35" s="2">
        <v>11</v>
      </c>
      <c r="B35" s="17">
        <f>(2*F15^2+2*G15^2)*1000</f>
        <v>36000</v>
      </c>
      <c r="C35" s="2">
        <v>3</v>
      </c>
      <c r="D35" s="2">
        <v>4</v>
      </c>
      <c r="E35" s="19">
        <v>2</v>
      </c>
      <c r="F35" s="17">
        <f>0.7*(0.5*1500*D35^2+IF(C35="-",0,CHOOSE(C35,275,1456,4813))+IF(E35="-",0,CHOOSE(E35,4000,16000,36000)))</f>
        <v>22969.100000000002</v>
      </c>
      <c r="G35" s="17">
        <f>B35-F35</f>
        <v>13030.899999999998</v>
      </c>
      <c r="H35" s="2" t="b">
        <f>IF(G35&gt;0,TRUE)</f>
        <v>1</v>
      </c>
      <c r="I35" s="2" t="str">
        <f>CHOOSE(C35,"minor","medium","major")</f>
        <v>major</v>
      </c>
      <c r="J35" s="2" t="str">
        <f>IF(D35="-","-",CHOOSE(D35,"magic missile","acid arrow","lightning bolt","polymorph other"))</f>
        <v>polymorph other</v>
      </c>
      <c r="K35" s="2" t="str">
        <f>IF(E35="-","-",CHOOSE(E35,"bracers +2","bracers +4","bracers +6"))</f>
        <v>bracers +4</v>
      </c>
      <c r="L35" s="1"/>
      <c r="M35" s="1"/>
      <c r="N35" s="1"/>
    </row>
    <row r="36" spans="1:14" ht="11.25">
      <c r="A36" s="2">
        <v>12</v>
      </c>
      <c r="B36" s="17">
        <f>(2*F16^2+2*G16^2)*1000</f>
        <v>50000</v>
      </c>
      <c r="C36" s="2">
        <v>3</v>
      </c>
      <c r="D36" s="2">
        <v>4</v>
      </c>
      <c r="E36" s="19">
        <v>3</v>
      </c>
      <c r="F36" s="17">
        <f>0.7*(0.5*1500*D36^2+IF(C36="-",0,CHOOSE(C36,275,1456,4813))+IF(E36="-",0,CHOOSE(E36,4000,16000,36000)))</f>
        <v>36969.100000000006</v>
      </c>
      <c r="G36" s="17">
        <f>B36-F36</f>
        <v>13030.899999999994</v>
      </c>
      <c r="H36" s="2" t="b">
        <f>IF(G36&gt;0,TRUE)</f>
        <v>1</v>
      </c>
      <c r="I36" s="2" t="str">
        <f>CHOOSE(C36,"minor","medium","major")</f>
        <v>major</v>
      </c>
      <c r="J36" s="2" t="str">
        <f>IF(D36="-","-",CHOOSE(D36,"magic missile","acid arrow","lightning bolt","polymorph other"))</f>
        <v>polymorph other</v>
      </c>
      <c r="K36" s="2" t="str">
        <f>IF(E36="-","-",CHOOSE(E36,"bracers +2","bracers +4","bracers +6"))</f>
        <v>bracers +6</v>
      </c>
      <c r="L36" s="1"/>
      <c r="M36" s="1"/>
      <c r="N36" s="1"/>
    </row>
    <row r="39" ht="11.25">
      <c r="A39" s="14" t="s">
        <v>48</v>
      </c>
    </row>
    <row r="41" spans="1:2" ht="11.25">
      <c r="A41" s="4" t="s">
        <v>35</v>
      </c>
      <c r="B41" s="14" t="s">
        <v>49</v>
      </c>
    </row>
    <row r="42" spans="1:2" ht="11.25">
      <c r="A42" s="2">
        <v>1</v>
      </c>
      <c r="B42" s="20" t="str">
        <f>CONCATENATE(I25," scroll")</f>
        <v>minor scroll</v>
      </c>
    </row>
    <row r="43" spans="1:2" ht="11.25">
      <c r="A43" s="2">
        <v>2</v>
      </c>
      <c r="B43" s="20" t="str">
        <f>CONCATENATE(I26," scroll")</f>
        <v>minor scroll</v>
      </c>
    </row>
    <row r="44" spans="1:2" ht="11.25">
      <c r="A44" s="2">
        <v>3</v>
      </c>
      <c r="B44" s="20" t="str">
        <f>CONCATENATE(I27," scroll")</f>
        <v>minor scroll</v>
      </c>
    </row>
    <row r="45" spans="1:2" ht="11.25">
      <c r="A45" s="2">
        <v>4</v>
      </c>
      <c r="B45" s="20" t="str">
        <f>CONCATENATE(I28," scroll, wand of ",J28)</f>
        <v>medium scroll, wand of magic missile</v>
      </c>
    </row>
    <row r="46" spans="1:2" ht="11.25">
      <c r="A46" s="2">
        <v>5</v>
      </c>
      <c r="B46" s="20" t="str">
        <f>CONCATENATE(I29," scroll, wand of ",J29)</f>
        <v>medium scroll, wand of magic missile</v>
      </c>
    </row>
    <row r="47" spans="1:2" ht="11.25">
      <c r="A47" s="2">
        <v>6</v>
      </c>
      <c r="B47" s="20" t="str">
        <f>CONCATENATE(I30," scroll, wand of ",J30)</f>
        <v>medium scroll, wand of acid arrow</v>
      </c>
    </row>
    <row r="48" spans="1:2" ht="11.25">
      <c r="A48" s="2">
        <v>7</v>
      </c>
      <c r="B48" s="20" t="str">
        <f>CONCATENATE(I31," scroll, wand of ",J31)</f>
        <v>medium scroll, wand of acid arrow</v>
      </c>
    </row>
    <row r="49" spans="1:2" ht="11.25">
      <c r="A49" s="2">
        <v>8</v>
      </c>
      <c r="B49" s="20" t="str">
        <f>CONCATENATE(I32," scroll, wand of ",J32)</f>
        <v>major scroll, wand of lightning bolt</v>
      </c>
    </row>
    <row r="50" spans="1:2" ht="11.25">
      <c r="A50" s="2">
        <v>9</v>
      </c>
      <c r="B50" s="20" t="str">
        <f>CONCATENATE(I33," scroll, wand of ",J33,", ",K33)</f>
        <v>major scroll, wand of lightning bolt, bracers +2</v>
      </c>
    </row>
    <row r="51" spans="1:2" ht="11.25">
      <c r="A51" s="2">
        <v>10</v>
      </c>
      <c r="B51" s="20" t="str">
        <f>CONCATENATE(I34," scroll, wand of ",J34,", ",K34)</f>
        <v>major scroll, wand of polymorph other, bracers +4</v>
      </c>
    </row>
    <row r="52" spans="1:2" ht="11.25">
      <c r="A52" s="2">
        <v>11</v>
      </c>
      <c r="B52" s="20" t="str">
        <f>CONCATENATE(I35," scroll, wand of ",J35,", ",K35)</f>
        <v>major scroll, wand of polymorph other, bracers +4</v>
      </c>
    </row>
    <row r="53" spans="1:2" ht="11.25">
      <c r="A53" s="2">
        <v>12</v>
      </c>
      <c r="B53" s="20" t="str">
        <f>CONCATENATE(I36," scroll, wand of ",J36,", ",K36)</f>
        <v>major scroll, wand of polymorph other, bracers +6</v>
      </c>
    </row>
  </sheetData>
  <printOptions/>
  <pageMargins left="0.5" right="0.5" top="0.7375" bottom="0.7375" header="0.5" footer="0.5"/>
  <pageSetup horizontalDpi="300" verticalDpi="3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2.57421875" defaultRowHeight="12.75"/>
  <cols>
    <col min="1" max="1" width="6.140625" style="2" customWidth="1"/>
    <col min="2" max="8" width="2.8515625" style="2" customWidth="1"/>
    <col min="9" max="9" width="11.7109375" style="1" customWidth="1"/>
    <col min="10" max="10" width="6.140625" style="1" customWidth="1"/>
    <col min="11" max="11" width="17.28125" style="1" customWidth="1"/>
    <col min="12" max="16384" width="11.7109375" style="1" customWidth="1"/>
  </cols>
  <sheetData>
    <row r="1" spans="1:17" ht="11.25">
      <c r="A1" s="14" t="s">
        <v>50</v>
      </c>
      <c r="J1" s="14" t="s">
        <v>51</v>
      </c>
      <c r="K1" s="2"/>
      <c r="L1" s="2"/>
      <c r="M1" s="2"/>
      <c r="N1" s="2"/>
      <c r="O1" s="2"/>
      <c r="P1" s="2"/>
      <c r="Q1" s="2"/>
    </row>
    <row r="2" spans="10:17" ht="11.25">
      <c r="J2" s="2"/>
      <c r="K2" s="2"/>
      <c r="L2" s="2"/>
      <c r="M2" s="2"/>
      <c r="N2" s="2"/>
      <c r="O2" s="2"/>
      <c r="P2" s="2"/>
      <c r="Q2" s="2"/>
    </row>
    <row r="3" spans="1:17" ht="11.25">
      <c r="A3" s="4" t="s">
        <v>52</v>
      </c>
      <c r="B3" s="4"/>
      <c r="C3" s="4"/>
      <c r="D3" s="4"/>
      <c r="E3" s="4" t="s">
        <v>53</v>
      </c>
      <c r="F3" s="4"/>
      <c r="G3" s="4"/>
      <c r="H3" s="4"/>
      <c r="J3" s="4" t="s">
        <v>52</v>
      </c>
      <c r="K3" s="2"/>
      <c r="L3" s="2"/>
      <c r="M3" s="2"/>
      <c r="N3" s="2"/>
      <c r="O3" s="2"/>
      <c r="P3" s="2"/>
      <c r="Q3" s="2"/>
    </row>
    <row r="4" spans="1:17" ht="11.25">
      <c r="A4" s="4" t="s">
        <v>35</v>
      </c>
      <c r="B4" s="4">
        <v>0</v>
      </c>
      <c r="C4" s="4">
        <v>1</v>
      </c>
      <c r="D4" s="4">
        <v>2</v>
      </c>
      <c r="E4" s="4">
        <v>3</v>
      </c>
      <c r="F4" s="4">
        <v>4</v>
      </c>
      <c r="G4" s="4">
        <v>5</v>
      </c>
      <c r="H4" s="4">
        <v>6</v>
      </c>
      <c r="J4" s="4" t="s">
        <v>35</v>
      </c>
      <c r="K4" s="4" t="s">
        <v>54</v>
      </c>
      <c r="L4" s="2"/>
      <c r="M4" s="2"/>
      <c r="N4" s="2"/>
      <c r="O4" s="2"/>
      <c r="P4" s="2"/>
      <c r="Q4" s="2"/>
    </row>
    <row r="5" spans="1:17" ht="11.25">
      <c r="A5" s="2">
        <v>1</v>
      </c>
      <c r="B5" s="2">
        <v>4</v>
      </c>
      <c r="C5" s="2">
        <v>2</v>
      </c>
      <c r="J5" s="2">
        <v>1</v>
      </c>
      <c r="K5" s="20" t="str">
        <f>CONCATENATE(C23+C$38,"/",B23+B$38)</f>
        <v>3/4</v>
      </c>
      <c r="L5" s="2"/>
      <c r="M5" s="2"/>
      <c r="N5" s="2"/>
      <c r="O5" s="2"/>
      <c r="P5" s="2"/>
      <c r="Q5" s="2"/>
    </row>
    <row r="6" spans="1:17" ht="11.25">
      <c r="A6" s="2">
        <v>2</v>
      </c>
      <c r="B6" s="2">
        <v>5</v>
      </c>
      <c r="C6" s="2">
        <v>2</v>
      </c>
      <c r="J6" s="2">
        <v>2</v>
      </c>
      <c r="K6" s="20" t="str">
        <f>CONCATENATE(C24+C$38,"/",B24+B$38)</f>
        <v>4/5</v>
      </c>
      <c r="L6" s="2"/>
      <c r="M6" s="2"/>
      <c r="N6" s="2"/>
      <c r="O6" s="2"/>
      <c r="P6" s="2"/>
      <c r="Q6" s="2"/>
    </row>
    <row r="7" spans="1:17" ht="11.25">
      <c r="A7" s="2">
        <v>3</v>
      </c>
      <c r="B7" s="2">
        <v>5</v>
      </c>
      <c r="C7" s="2">
        <v>3</v>
      </c>
      <c r="J7" s="2">
        <v>3</v>
      </c>
      <c r="K7" s="20" t="str">
        <f>CONCATENATE(C25+C$38,"/",B25+B$38)</f>
        <v>5/5</v>
      </c>
      <c r="L7" s="2"/>
      <c r="M7" s="2"/>
      <c r="N7" s="2"/>
      <c r="O7" s="2"/>
      <c r="P7" s="2"/>
      <c r="Q7" s="2"/>
    </row>
    <row r="8" spans="1:17" ht="11.25">
      <c r="A8" s="2">
        <v>4</v>
      </c>
      <c r="B8" s="2">
        <v>6</v>
      </c>
      <c r="C8" s="2">
        <v>3</v>
      </c>
      <c r="D8" s="2">
        <v>1</v>
      </c>
      <c r="J8" s="2">
        <v>4</v>
      </c>
      <c r="K8" s="20" t="str">
        <f>CONCATENATE(D26+D$38,"/",C26+C$38,"/",B26+B$38)</f>
        <v>3/6/6</v>
      </c>
      <c r="L8" s="2"/>
      <c r="M8" s="2"/>
      <c r="N8" s="2"/>
      <c r="O8" s="2"/>
      <c r="P8" s="2"/>
      <c r="Q8" s="2"/>
    </row>
    <row r="9" spans="1:17" ht="11.25">
      <c r="A9" s="2">
        <v>5</v>
      </c>
      <c r="B9" s="2">
        <v>6</v>
      </c>
      <c r="C9" s="2">
        <v>4</v>
      </c>
      <c r="D9" s="2">
        <v>2</v>
      </c>
      <c r="J9" s="2">
        <v>5</v>
      </c>
      <c r="K9" s="20" t="str">
        <f>CONCATENATE(D27+D$38,"/",C27+C$38,"/",B27+B$38)</f>
        <v>4/6/6</v>
      </c>
      <c r="L9" s="2"/>
      <c r="M9" s="2"/>
      <c r="N9" s="2"/>
      <c r="O9" s="2"/>
      <c r="P9" s="2"/>
      <c r="Q9" s="2"/>
    </row>
    <row r="10" spans="1:17" ht="11.25">
      <c r="A10" s="2">
        <v>6</v>
      </c>
      <c r="B10" s="2">
        <v>7</v>
      </c>
      <c r="C10" s="2">
        <v>4</v>
      </c>
      <c r="D10" s="2">
        <v>2</v>
      </c>
      <c r="E10" s="2">
        <v>1</v>
      </c>
      <c r="J10" s="2">
        <v>6</v>
      </c>
      <c r="K10" s="20" t="str">
        <f>CONCATENATE(E28+E$38,"/",D28+D$38,"/",C28+C$38,"/",B28+B$38)</f>
        <v>2/5/7/6</v>
      </c>
      <c r="L10" s="2"/>
      <c r="M10" s="2"/>
      <c r="N10" s="2"/>
      <c r="O10" s="2"/>
      <c r="P10" s="2"/>
      <c r="Q10" s="2"/>
    </row>
    <row r="11" spans="1:17" ht="11.25">
      <c r="A11" s="2">
        <v>7</v>
      </c>
      <c r="B11" s="2">
        <v>7</v>
      </c>
      <c r="C11" s="2">
        <v>5</v>
      </c>
      <c r="D11" s="2">
        <v>3</v>
      </c>
      <c r="E11" s="2">
        <v>2</v>
      </c>
      <c r="J11" s="2">
        <v>7</v>
      </c>
      <c r="K11" s="20" t="str">
        <f>CONCATENATE(E29+E$38,"/",D29+D$38,"/",C29+C$38,"/",B29+B$38)</f>
        <v>3/6/7/6</v>
      </c>
      <c r="L11" s="2"/>
      <c r="M11" s="2"/>
      <c r="N11" s="2"/>
      <c r="O11" s="2"/>
      <c r="P11" s="2"/>
      <c r="Q11" s="2"/>
    </row>
    <row r="12" spans="1:17" ht="11.25">
      <c r="A12" s="2">
        <v>8</v>
      </c>
      <c r="B12" s="2">
        <v>8</v>
      </c>
      <c r="C12" s="2">
        <v>5</v>
      </c>
      <c r="D12" s="2">
        <v>3</v>
      </c>
      <c r="E12" s="2">
        <v>2</v>
      </c>
      <c r="F12" s="2">
        <v>1</v>
      </c>
      <c r="J12" s="2">
        <v>8</v>
      </c>
      <c r="K12" s="20" t="str">
        <f>CONCATENATE(F30+F$38,"/",E30+E$38,"/",D30+D$38,"/",C30+C$38,"/",B30+B$38)</f>
        <v>2/4/6/7/6</v>
      </c>
      <c r="L12" s="2"/>
      <c r="M12" s="2"/>
      <c r="N12" s="2"/>
      <c r="O12" s="2"/>
      <c r="P12" s="2"/>
      <c r="Q12" s="2"/>
    </row>
    <row r="13" spans="1:17" ht="11.25">
      <c r="A13" s="2">
        <v>9</v>
      </c>
      <c r="B13" s="2">
        <v>8</v>
      </c>
      <c r="C13" s="2">
        <v>5</v>
      </c>
      <c r="D13" s="2">
        <v>4</v>
      </c>
      <c r="E13" s="2">
        <v>3</v>
      </c>
      <c r="F13" s="2">
        <v>2</v>
      </c>
      <c r="J13" s="2">
        <v>9</v>
      </c>
      <c r="K13" s="20" t="str">
        <f>CONCATENATE(F31+F$38,"/",E31+E$38,"/",D31+D$38,"/",C31+C$38,"/",B31+B$38)</f>
        <v>3/5/7/7/6</v>
      </c>
      <c r="L13" s="2"/>
      <c r="M13" s="2"/>
      <c r="N13" s="2"/>
      <c r="O13" s="2"/>
      <c r="P13" s="2"/>
      <c r="Q13" s="2"/>
    </row>
    <row r="14" spans="1:17" ht="11.25">
      <c r="A14" s="2">
        <v>10</v>
      </c>
      <c r="B14" s="2">
        <v>9</v>
      </c>
      <c r="C14" s="2">
        <v>5</v>
      </c>
      <c r="D14" s="2">
        <v>4</v>
      </c>
      <c r="E14" s="2">
        <v>3</v>
      </c>
      <c r="F14" s="2">
        <v>2</v>
      </c>
      <c r="G14" s="2">
        <v>1</v>
      </c>
      <c r="J14" s="2">
        <v>10</v>
      </c>
      <c r="K14" s="20" t="str">
        <f>CONCATENATE(G32+G$38,"/",F32+F$38,"/",E32+E$38,"/",D32+D$38,"/",C32+C$38,"/",B32+B$38)</f>
        <v>2/4/5/7/7/6</v>
      </c>
      <c r="L14" s="2"/>
      <c r="M14" s="2"/>
      <c r="N14" s="2"/>
      <c r="O14" s="2"/>
      <c r="P14" s="2"/>
      <c r="Q14" s="2"/>
    </row>
    <row r="15" spans="1:17" ht="11.25">
      <c r="A15" s="2">
        <v>11</v>
      </c>
      <c r="B15" s="2">
        <v>9</v>
      </c>
      <c r="C15" s="2">
        <v>5</v>
      </c>
      <c r="D15" s="2">
        <v>5</v>
      </c>
      <c r="E15" s="2">
        <v>4</v>
      </c>
      <c r="F15" s="2">
        <v>3</v>
      </c>
      <c r="G15" s="2">
        <v>2</v>
      </c>
      <c r="J15" s="2">
        <v>11</v>
      </c>
      <c r="K15" s="20" t="str">
        <f>CONCATENATE(G33+G$38,"/",F33+F$38,"/",E33+E$38,"/",D33+D$38,"/",C33+C$38,"/",B33+B$38)</f>
        <v>3/5/6/7/7/6</v>
      </c>
      <c r="L15" s="2"/>
      <c r="M15" s="2"/>
      <c r="N15" s="2"/>
      <c r="O15" s="2"/>
      <c r="P15" s="2"/>
      <c r="Q15" s="2"/>
    </row>
    <row r="16" spans="1:17" ht="11.25">
      <c r="A16" s="2">
        <v>12</v>
      </c>
      <c r="B16" s="2">
        <v>9</v>
      </c>
      <c r="C16" s="2">
        <v>5</v>
      </c>
      <c r="D16" s="2">
        <v>5</v>
      </c>
      <c r="E16" s="2">
        <v>4</v>
      </c>
      <c r="F16" s="2">
        <v>3</v>
      </c>
      <c r="G16" s="2">
        <v>2</v>
      </c>
      <c r="H16" s="2">
        <v>1</v>
      </c>
      <c r="J16" s="2">
        <v>12</v>
      </c>
      <c r="K16" s="20" t="str">
        <f>CONCATENATE(H34+H$38,"/",G34+G$38,"/",F34+F$38,"/",E34+E$38,"/",D34+D$38,"/",C34+C$38,"/",B34+B$38)</f>
        <v>2/4/5/6/7/7/6</v>
      </c>
      <c r="L16" s="2"/>
      <c r="M16" s="2"/>
      <c r="N16" s="2"/>
      <c r="O16" s="2"/>
      <c r="P16" s="2"/>
      <c r="Q16" s="2"/>
    </row>
    <row r="19" ht="11.25">
      <c r="A19" s="14" t="s">
        <v>55</v>
      </c>
    </row>
    <row r="21" spans="1:8" ht="11.25">
      <c r="A21" s="4" t="s">
        <v>52</v>
      </c>
      <c r="B21" s="4"/>
      <c r="C21" s="4"/>
      <c r="D21" s="4"/>
      <c r="E21" s="4" t="s">
        <v>53</v>
      </c>
      <c r="F21" s="4"/>
      <c r="G21" s="4"/>
      <c r="H21" s="4"/>
    </row>
    <row r="22" spans="1:8" ht="11.25">
      <c r="A22" s="4" t="s">
        <v>35</v>
      </c>
      <c r="B22" s="4">
        <v>0</v>
      </c>
      <c r="C22" s="4">
        <v>1</v>
      </c>
      <c r="D22" s="4">
        <v>2</v>
      </c>
      <c r="E22" s="4">
        <v>3</v>
      </c>
      <c r="F22" s="4">
        <v>4</v>
      </c>
      <c r="G22" s="4">
        <v>5</v>
      </c>
      <c r="H22" s="4">
        <v>6</v>
      </c>
    </row>
    <row r="23" spans="1:3" ht="11.25">
      <c r="A23" s="2">
        <v>1</v>
      </c>
      <c r="B23" s="2">
        <v>4</v>
      </c>
      <c r="C23" s="2">
        <v>2</v>
      </c>
    </row>
    <row r="24" spans="1:3" ht="11.25">
      <c r="A24" s="2">
        <v>2</v>
      </c>
      <c r="B24" s="2">
        <v>5</v>
      </c>
      <c r="C24" s="2">
        <v>3</v>
      </c>
    </row>
    <row r="25" spans="1:3" ht="11.25">
      <c r="A25" s="2">
        <v>3</v>
      </c>
      <c r="B25" s="2">
        <v>5</v>
      </c>
      <c r="C25" s="2">
        <v>4</v>
      </c>
    </row>
    <row r="26" spans="1:4" ht="11.25">
      <c r="A26" s="2">
        <v>4</v>
      </c>
      <c r="B26" s="2">
        <v>6</v>
      </c>
      <c r="C26" s="2">
        <v>5</v>
      </c>
      <c r="D26" s="2">
        <v>2</v>
      </c>
    </row>
    <row r="27" spans="1:4" ht="11.25">
      <c r="A27" s="2">
        <v>5</v>
      </c>
      <c r="B27" s="2">
        <v>6</v>
      </c>
      <c r="C27" s="2">
        <v>5</v>
      </c>
      <c r="D27" s="2">
        <v>3</v>
      </c>
    </row>
    <row r="28" spans="1:5" ht="11.25">
      <c r="A28" s="2">
        <v>6</v>
      </c>
      <c r="B28" s="2">
        <v>6</v>
      </c>
      <c r="C28" s="2">
        <v>6</v>
      </c>
      <c r="D28" s="2">
        <v>4</v>
      </c>
      <c r="E28" s="2">
        <v>2</v>
      </c>
    </row>
    <row r="29" spans="1:5" ht="11.25">
      <c r="A29" s="2">
        <v>7</v>
      </c>
      <c r="B29" s="2">
        <v>6</v>
      </c>
      <c r="C29" s="2">
        <v>6</v>
      </c>
      <c r="D29" s="2">
        <v>5</v>
      </c>
      <c r="E29" s="2">
        <v>3</v>
      </c>
    </row>
    <row r="30" spans="1:6" ht="11.25">
      <c r="A30" s="2">
        <v>8</v>
      </c>
      <c r="B30" s="2">
        <v>6</v>
      </c>
      <c r="C30" s="2">
        <v>6</v>
      </c>
      <c r="D30" s="2">
        <v>5</v>
      </c>
      <c r="E30" s="2">
        <v>4</v>
      </c>
      <c r="F30" s="2">
        <v>2</v>
      </c>
    </row>
    <row r="31" spans="1:6" ht="11.25">
      <c r="A31" s="2">
        <v>9</v>
      </c>
      <c r="B31" s="2">
        <v>6</v>
      </c>
      <c r="C31" s="2">
        <v>6</v>
      </c>
      <c r="D31" s="2">
        <v>6</v>
      </c>
      <c r="E31" s="2">
        <v>5</v>
      </c>
      <c r="F31" s="2">
        <v>3</v>
      </c>
    </row>
    <row r="32" spans="1:7" ht="11.25">
      <c r="A32" s="2">
        <v>10</v>
      </c>
      <c r="B32" s="2">
        <v>6</v>
      </c>
      <c r="C32" s="2">
        <v>6</v>
      </c>
      <c r="D32" s="2">
        <v>6</v>
      </c>
      <c r="E32" s="2">
        <v>5</v>
      </c>
      <c r="F32" s="2">
        <v>4</v>
      </c>
      <c r="G32" s="2">
        <v>2</v>
      </c>
    </row>
    <row r="33" spans="1:7" ht="11.25">
      <c r="A33" s="2">
        <v>11</v>
      </c>
      <c r="B33" s="2">
        <v>6</v>
      </c>
      <c r="C33" s="2">
        <v>6</v>
      </c>
      <c r="D33" s="2">
        <v>6</v>
      </c>
      <c r="E33" s="2">
        <v>6</v>
      </c>
      <c r="F33" s="2">
        <v>5</v>
      </c>
      <c r="G33" s="2">
        <v>3</v>
      </c>
    </row>
    <row r="34" spans="1:8" ht="11.25">
      <c r="A34" s="2">
        <v>12</v>
      </c>
      <c r="B34" s="2">
        <v>6</v>
      </c>
      <c r="C34" s="2">
        <v>6</v>
      </c>
      <c r="D34" s="2">
        <v>6</v>
      </c>
      <c r="E34" s="2">
        <v>6</v>
      </c>
      <c r="F34" s="2">
        <v>5</v>
      </c>
      <c r="G34" s="2">
        <v>4</v>
      </c>
      <c r="H34" s="2">
        <v>2</v>
      </c>
    </row>
    <row r="37" ht="11.25">
      <c r="A37" s="14" t="s">
        <v>56</v>
      </c>
    </row>
    <row r="38" spans="1:8" ht="11.25">
      <c r="A38" s="4" t="s">
        <v>52</v>
      </c>
      <c r="B38" s="2">
        <v>0</v>
      </c>
      <c r="C38" s="2">
        <v>1</v>
      </c>
      <c r="D38" s="2">
        <v>1</v>
      </c>
      <c r="E38" s="2">
        <v>0</v>
      </c>
      <c r="F38" s="2">
        <v>0</v>
      </c>
      <c r="G38" s="2">
        <v>0</v>
      </c>
      <c r="H38" s="2">
        <v>0</v>
      </c>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row r="50" spans="1:8" ht="12.75">
      <c r="A50"/>
      <c r="B50"/>
      <c r="C50"/>
      <c r="D50"/>
      <c r="E50"/>
      <c r="F50"/>
      <c r="G50"/>
      <c r="H50"/>
    </row>
    <row r="51" spans="1:8" ht="12.75">
      <c r="A51"/>
      <c r="B51"/>
      <c r="C51"/>
      <c r="D51"/>
      <c r="E51"/>
      <c r="F51"/>
      <c r="G51"/>
      <c r="H51"/>
    </row>
    <row r="52" spans="1:8" ht="12.75">
      <c r="A52"/>
      <c r="B52"/>
      <c r="C52"/>
      <c r="D52"/>
      <c r="E52"/>
      <c r="F52"/>
      <c r="G52"/>
      <c r="H52"/>
    </row>
    <row r="53" spans="1:8" ht="12.75">
      <c r="A53"/>
      <c r="B53"/>
      <c r="C53"/>
      <c r="D53"/>
      <c r="E53"/>
      <c r="F53"/>
      <c r="G53"/>
      <c r="H53"/>
    </row>
    <row r="54" spans="1:8" ht="12.75">
      <c r="A54"/>
      <c r="B54"/>
      <c r="C54"/>
      <c r="D54"/>
      <c r="E54"/>
      <c r="F54"/>
      <c r="G54"/>
      <c r="H54"/>
    </row>
    <row r="55" spans="1:8" ht="12.75">
      <c r="A55"/>
      <c r="B55"/>
      <c r="C55"/>
      <c r="D55"/>
      <c r="E55"/>
      <c r="F55"/>
      <c r="G55"/>
      <c r="H55"/>
    </row>
    <row r="56" spans="1:8" ht="12.75">
      <c r="A56"/>
      <c r="B56"/>
      <c r="C56"/>
      <c r="D56"/>
      <c r="E56"/>
      <c r="F56"/>
      <c r="G56"/>
      <c r="H56"/>
    </row>
  </sheetData>
  <printOptions/>
  <pageMargins left="0.7875" right="0.7875" top="1.0555555555555556" bottom="1.0555555555555556" header="0.7902777777777779" footer="0.7902777777777779"/>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B26"/>
  <sheetViews>
    <sheetView workbookViewId="0" topLeftCell="A1">
      <selection activeCell="A1" sqref="A1"/>
    </sheetView>
  </sheetViews>
  <sheetFormatPr defaultColWidth="12.57421875" defaultRowHeight="12.75"/>
  <cols>
    <col min="1" max="1" width="6.140625" style="1" customWidth="1"/>
    <col min="2" max="2" width="87.140625" style="8" customWidth="1"/>
    <col min="3" max="16384" width="11.57421875" style="1" customWidth="1"/>
  </cols>
  <sheetData>
    <row r="1" ht="11.25">
      <c r="A1" s="3" t="s">
        <v>50</v>
      </c>
    </row>
    <row r="3" spans="1:2" ht="12">
      <c r="A3" s="4" t="s">
        <v>35</v>
      </c>
      <c r="B3" s="9" t="s">
        <v>57</v>
      </c>
    </row>
    <row r="4" spans="1:2" ht="12">
      <c r="A4" s="2">
        <v>0</v>
      </c>
      <c r="B4" s="8" t="s">
        <v>58</v>
      </c>
    </row>
    <row r="5" spans="1:2" ht="12">
      <c r="A5" s="2">
        <v>1</v>
      </c>
      <c r="B5" s="8" t="s">
        <v>59</v>
      </c>
    </row>
    <row r="6" spans="1:2" ht="12">
      <c r="A6" s="2">
        <v>2</v>
      </c>
      <c r="B6" s="8" t="s">
        <v>60</v>
      </c>
    </row>
    <row r="7" spans="1:2" ht="12">
      <c r="A7" s="2">
        <v>3</v>
      </c>
      <c r="B7" s="8" t="s">
        <v>61</v>
      </c>
    </row>
    <row r="8" spans="1:2" ht="12">
      <c r="A8" s="2">
        <v>4</v>
      </c>
      <c r="B8" s="8" t="s">
        <v>62</v>
      </c>
    </row>
    <row r="9" spans="1:2" ht="12">
      <c r="A9" s="2">
        <v>5</v>
      </c>
      <c r="B9" s="8" t="s">
        <v>63</v>
      </c>
    </row>
    <row r="10" spans="1:2" ht="12">
      <c r="A10" s="2">
        <v>6</v>
      </c>
      <c r="B10" s="8" t="s">
        <v>64</v>
      </c>
    </row>
    <row r="13" ht="11.25">
      <c r="A13" s="4" t="s">
        <v>52</v>
      </c>
    </row>
    <row r="14" spans="1:2" ht="12">
      <c r="A14" s="4" t="s">
        <v>35</v>
      </c>
      <c r="B14" s="9" t="s">
        <v>65</v>
      </c>
    </row>
    <row r="15" spans="1:2" ht="12">
      <c r="A15" s="2">
        <v>1</v>
      </c>
      <c r="B15" s="8" t="str">
        <f>CONCATENATE("1st -- ",GETLEFTTOKENS(B$5,Spells!C5),"; 0th -- ",GETLEFTTOKENS(B$4,Spells!B5))</f>
        <v>1st -- magic missile, mage armor; 0th -- detect magic, read magic, arcane mark, prestidigitation</v>
      </c>
    </row>
    <row r="16" spans="1:2" ht="12">
      <c r="A16" s="2">
        <v>2</v>
      </c>
      <c r="B16" s="8" t="str">
        <f>CONCATENATE("1st -- ",GETLEFTTOKENS(B$5,Spells!C6),"; 0th -- ",GETLEFTTOKENS(B$4,Spells!B6))</f>
        <v>1st -- magic missile, mage armor; 0th -- detect magic, read magic, arcane mark, prestidigitation, light</v>
      </c>
    </row>
    <row r="17" spans="1:2" ht="12">
      <c r="A17" s="2">
        <v>3</v>
      </c>
      <c r="B17" s="8" t="str">
        <f>CONCATENATE("1st -- ",GETLEFTTOKENS(B$5,Spells!C7),"; 0th -- ",GETLEFTTOKENS(B$4,Spells!B7))</f>
        <v>1st -- magic missile, mage armor, shield; 0th -- detect magic, read magic, arcane mark, prestidigitation, light</v>
      </c>
    </row>
    <row r="18" spans="1:2" ht="23.25">
      <c r="A18" s="2">
        <v>4</v>
      </c>
      <c r="B18" s="8" t="str">
        <f>CONCATENATE("2nd -- ",GETLEFTTOKENS(B$6,Spells!D8),"; 1st -- ",GETLEFTTOKENS(B$5,Spells!C8),"; 0th -- ",GETLEFTTOKENS(B$4,Spells!B8))</f>
        <v>2nd -- invisibility; 1st -- magic missile, mage armor, shield; 0th -- detect magic, read magic, arcane mark, prestidigitation, light, ghost sound</v>
      </c>
    </row>
    <row r="19" spans="1:2" ht="23.25">
      <c r="A19" s="2">
        <v>5</v>
      </c>
      <c r="B19" s="8" t="str">
        <f>CONCATENATE("2nd -- ",GETLEFTTOKENS(B$6,Spells!D9),"; 1st -- ",GETLEFTTOKENS(B$5,Spells!C9),"; 0th -- ",GETLEFTTOKENS(B$4,Spells!B9))</f>
        <v>2nd -- invisibility, scorching ray; 1st -- magic missile, mage armor, shield, identify; 0th -- detect magic, read magic, arcane mark, prestidigitation, light, ghost sound</v>
      </c>
    </row>
    <row r="20" spans="1:2" ht="23.25">
      <c r="A20" s="2">
        <v>6</v>
      </c>
      <c r="B20" s="8" t="str">
        <f>CONCATENATE("3rd -- ",GETLEFTTOKENS(B$7,Spells!E10),"; 2nd -- ",GETLEFTTOKENS(B$6,Spells!D10),"; 1st -- ",GETLEFTTOKENS(B$5,Spells!C10),"; 0th -- ",GETLEFTTOKENS(B$4,Spells!B10))</f>
        <v>3rd -- dispel magic; 2nd -- invisibility, scorching ray; 1st -- magic missile, mage armor, shield, identify; 0th -- detect magic, read magic, arcane mark, prestidigitation, light, ghost sound, message</v>
      </c>
    </row>
    <row r="21" spans="1:2" ht="34.5">
      <c r="A21" s="2">
        <v>7</v>
      </c>
      <c r="B21" s="8" t="str">
        <f>CONCATENATE("3rd -- ",GETLEFTTOKENS(B$7,Spells!E11),"; 2nd -- ",GETLEFTTOKENS(B$6,Spells!D11),"; 1st -- ",GETLEFTTOKENS(B$5,Spells!C11),"; 0th -- ",GETLEFTTOKENS(B$4,Spells!B11))</f>
        <v>3rd -- dispel magic, fireball; 2nd -- invisibility, scorching ray, see invisibility; 1st -- magic missile, mage armor, shield, identify, sleep; 0th -- detect magic, read magic, arcane mark, prestidigitation, light, ghost sound, message</v>
      </c>
    </row>
    <row r="22" spans="1:2" ht="34.5">
      <c r="A22" s="2">
        <v>8</v>
      </c>
      <c r="B22" s="8" t="str">
        <f>CONCATENATE("4th -- ",GETLEFTTOKENS(B$8,Spells!F12),"; 3rd -- ",GETLEFTTOKENS(B$7,Spells!E12),"; 2nd -- ",GETLEFTTOKENS(B$6,Spells!D12),"; 1st -- ",GETLEFTTOKENS(B$5,Spells!C12),"; 0th -- ",GETLEFTTOKENS(B$4,Spells!B12))</f>
        <v>4th -- polymorph other; 3rd -- dispel magic, fireball; 2nd -- invisibility, scorching ray, see invisibility; 1st -- magic missile, mage armor, shield, identify, sleep; 0th -- detect magic, read magic, arcane mark, prestidigitation, light, ghost sound, message, resistance</v>
      </c>
    </row>
    <row r="23" spans="1:2" ht="34.5">
      <c r="A23" s="2">
        <v>9</v>
      </c>
      <c r="B23" s="8" t="str">
        <f>CONCATENATE("4th -- ",GETLEFTTOKENS(B$8,Spells!F13),"; 3rd -- ",GETLEFTTOKENS(B$7,Spells!E13),"; 2nd -- ",GETLEFTTOKENS(B$6,Spells!D13),"; 1st -- ",GETLEFTTOKENS(B$5,Spells!C13),"; 0th -- ",GETLEFTTOKENS(B$4,Spells!B13))</f>
        <v>4th -- polymorph other, stoneskin; 3rd -- dispel magic, fireball, fly; 2nd -- invisibility, scorching ray, see invisibility, mirror image; 1st -- magic missile, mage armor, shield, identify, sleep; 0th -- detect magic, read magic, arcane mark, prestidigitation, light, ghost sound, message, resistance</v>
      </c>
    </row>
    <row r="24" spans="1:2" ht="34.5">
      <c r="A24" s="2">
        <v>10</v>
      </c>
      <c r="B24" s="8" t="str">
        <f>CONCATENATE("5th -- ",GETLEFTTOKENS(B$9,Spells!G14),"; 4th -- ",GETLEFTTOKENS(B$8,Spells!F14),"; 3rd -- ",GETLEFTTOKENS(B$7,Spells!E14),"; 2nd -- ",GETLEFTTOKENS(B$6,Spells!D14),"; 1st -- ",GETLEFTTOKENS(B$5,Spells!C14),"; 0th -- ",GETLEFTTOKENS(B$4,Spells!B14))</f>
        <v>5th -- teleport; 4th -- polymorph other, stoneskin; 3rd -- dispel magic, fireball, fly; 2nd -- invisibility, scorching ray, see invisibility, mirror image; 1st -- magic missile, mage armor, shield, identify, sleep; 0th -- detect magic, read magic, arcane mark, prestidigitation, light, ghost sound, message, resistance, mage hand</v>
      </c>
    </row>
    <row r="25" spans="1:2" ht="45.75">
      <c r="A25" s="2">
        <v>11</v>
      </c>
      <c r="B25" s="8" t="str">
        <f>CONCATENATE("5th -- ",GETLEFTTOKENS(B$9,Spells!G15),"; 4th -- ",GETLEFTTOKENS(B$8,Spells!F15),"; 3rd -- ",GETLEFTTOKENS(B$7,Spells!E15),"; 2nd -- ",GETLEFTTOKENS(B$6,Spells!D15),"; 1st -- ",GETLEFTTOKENS(B$5,Spells!C15),"; 0th -- ",GETLEFTTOKENS(B$4,Spells!B15))</f>
        <v>5th -- teleport, wall of force; 4th -- polymorph other, stoneskin, black tentacles; 3rd -- dispel magic, fireball, fly, haste; 2nd -- invisibility, scorching ray, see invisibility, mirror image, alter self; 1st -- magic missile, mage armor, shield, identify, sleep; 0th -- detect magic, read magic, arcane mark, prestidigitation, light, ghost sound, message, resistance, mage hand</v>
      </c>
    </row>
    <row r="26" spans="1:2" ht="45.75">
      <c r="A26" s="2">
        <v>12</v>
      </c>
      <c r="B26" s="8" t="str">
        <f>CONCATENATE("6th -- ",GETLEFTTOKENS(B$10,Spells!H16),"; 5th -- ",GETLEFTTOKENS(B$9,Spells!G16),"; 4th -- ",GETLEFTTOKENS(B$8,Spells!F16),"; 3rd -- ",GETLEFTTOKENS(B$7,Spells!E16),"; 2nd -- ",GETLEFTTOKENS(B$6,Spells!D16),"; 1st -- ",GETLEFTTOKENS(B$5,Spells!C16),"; 0th -- ",GETLEFTTOKENS(B$4,Spells!B16))</f>
        <v>6th -- greater dispel magic; 5th -- teleport, wall of force; 4th -- polymorph other, stoneskin, black tentacles; 3rd -- dispel magic, fireball, fly, haste; 2nd -- invisibility, scorching ray, see invisibility, mirror image, alter self; 1st -- magic missile, mage armor, shield, identify, sleep; 0th -- detect magic, read magic, arcane mark, prestidigitation, light, ghost sound, message, resistance, mage hand</v>
      </c>
    </row>
  </sheetData>
  <printOptions/>
  <pageMargins left="0.5" right="0.5" top="0.7375" bottom="0.7375" header="0.5" footer="0.5"/>
  <pageSetup horizontalDpi="300" verticalDpi="300"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G60"/>
  <sheetViews>
    <sheetView workbookViewId="0" topLeftCell="A1">
      <selection activeCell="A1" sqref="A1"/>
    </sheetView>
  </sheetViews>
  <sheetFormatPr defaultColWidth="12.57421875" defaultRowHeight="12.75"/>
  <cols>
    <col min="1" max="1" width="3.28125" style="21" customWidth="1"/>
    <col min="2" max="2" width="6.421875" style="21" customWidth="1"/>
    <col min="3" max="5" width="2.57421875" style="21" customWidth="1"/>
    <col min="6" max="6" width="6.421875" style="21" customWidth="1"/>
    <col min="7" max="7" width="6.421875" style="22" customWidth="1"/>
    <col min="8" max="8" width="3.28125" style="21" customWidth="1"/>
    <col min="9" max="9" width="26.00390625" style="21" customWidth="1"/>
    <col min="10" max="10" width="26.00390625" style="23" customWidth="1"/>
    <col min="11" max="12" width="3.28125" style="21" customWidth="1"/>
    <col min="13" max="22" width="3.421875" style="22" customWidth="1"/>
    <col min="23" max="23" width="3.421875" style="21" customWidth="1"/>
    <col min="24" max="33" width="3.421875" style="22" customWidth="1"/>
    <col min="34" max="16384" width="11.57421875" style="21" customWidth="1"/>
  </cols>
  <sheetData>
    <row r="1" spans="1:10" ht="11.25">
      <c r="A1" s="3" t="s">
        <v>66</v>
      </c>
      <c r="D1" s="24"/>
      <c r="G1" s="25"/>
      <c r="I1" s="26"/>
      <c r="J1" s="27"/>
    </row>
    <row r="2" spans="1:10" ht="9">
      <c r="A2" s="28" t="s">
        <v>67</v>
      </c>
      <c r="D2" s="24"/>
      <c r="G2" s="25"/>
      <c r="I2" s="26"/>
      <c r="J2" s="27"/>
    </row>
    <row r="3" spans="2:33" ht="9">
      <c r="B3" s="29"/>
      <c r="C3" s="30"/>
      <c r="D3" s="31"/>
      <c r="E3" s="30"/>
      <c r="F3" s="30"/>
      <c r="G3" s="30"/>
      <c r="H3" s="30"/>
      <c r="I3" s="32"/>
      <c r="J3" s="33"/>
      <c r="K3" s="22"/>
      <c r="M3" s="34" t="s">
        <v>68</v>
      </c>
      <c r="P3" s="34"/>
      <c r="S3" s="34" t="s">
        <v>69</v>
      </c>
      <c r="T3" s="35"/>
      <c r="U3" s="34" t="s">
        <v>70</v>
      </c>
      <c r="V3" s="35"/>
      <c r="X3" s="34" t="s">
        <v>71</v>
      </c>
      <c r="Y3" s="35"/>
      <c r="Z3" s="35"/>
      <c r="AA3" s="35"/>
      <c r="AB3" s="35"/>
      <c r="AC3" s="35"/>
      <c r="AD3" s="34" t="s">
        <v>69</v>
      </c>
      <c r="AE3" s="35"/>
      <c r="AF3" s="34" t="s">
        <v>70</v>
      </c>
      <c r="AG3" s="35"/>
    </row>
    <row r="4" spans="2:33" ht="9.75">
      <c r="B4" s="29" t="s">
        <v>72</v>
      </c>
      <c r="C4" s="30" t="s">
        <v>73</v>
      </c>
      <c r="D4" s="31" t="s">
        <v>74</v>
      </c>
      <c r="E4" s="30" t="s">
        <v>75</v>
      </c>
      <c r="F4" s="30" t="s">
        <v>76</v>
      </c>
      <c r="G4" s="36" t="s">
        <v>77</v>
      </c>
      <c r="H4" s="30" t="s">
        <v>78</v>
      </c>
      <c r="I4" s="32" t="s">
        <v>79</v>
      </c>
      <c r="J4" s="32" t="s">
        <v>80</v>
      </c>
      <c r="K4" s="35" t="s">
        <v>81</v>
      </c>
      <c r="M4" s="35" t="s">
        <v>74</v>
      </c>
      <c r="N4" s="35" t="s">
        <v>75</v>
      </c>
      <c r="O4" s="35" t="s">
        <v>76</v>
      </c>
      <c r="P4" s="35" t="s">
        <v>82</v>
      </c>
      <c r="Q4" s="35" t="s">
        <v>83</v>
      </c>
      <c r="R4" s="35" t="s">
        <v>84</v>
      </c>
      <c r="S4" s="35" t="s">
        <v>85</v>
      </c>
      <c r="T4" s="35" t="s">
        <v>86</v>
      </c>
      <c r="U4" s="35" t="s">
        <v>85</v>
      </c>
      <c r="V4" s="35" t="s">
        <v>86</v>
      </c>
      <c r="X4" s="35" t="s">
        <v>74</v>
      </c>
      <c r="Y4" s="35" t="s">
        <v>75</v>
      </c>
      <c r="Z4" s="35" t="s">
        <v>76</v>
      </c>
      <c r="AA4" s="35" t="s">
        <v>82</v>
      </c>
      <c r="AB4" s="35" t="s">
        <v>83</v>
      </c>
      <c r="AC4" s="35" t="s">
        <v>84</v>
      </c>
      <c r="AD4" s="35" t="s">
        <v>85</v>
      </c>
      <c r="AE4" s="35" t="s">
        <v>86</v>
      </c>
      <c r="AF4" s="35" t="s">
        <v>85</v>
      </c>
      <c r="AG4" s="35" t="s">
        <v>86</v>
      </c>
    </row>
    <row r="5" spans="2:33" ht="9.75">
      <c r="B5" s="37" t="str">
        <f>CONCATENATE("FtrE",C5)</f>
        <v>FtrE1</v>
      </c>
      <c r="C5" s="38">
        <v>1</v>
      </c>
      <c r="D5" s="39">
        <f>M5+X5</f>
        <v>2</v>
      </c>
      <c r="E5" s="40">
        <f>10+N5+Y5+Magic!D5+Magic!E5</f>
        <v>19</v>
      </c>
      <c r="F5" s="40" t="str">
        <f>CONCATENATE(C5,"d10+",O5+Z5)</f>
        <v>1d10+1</v>
      </c>
      <c r="G5" s="40" t="str">
        <f>CONCATENATE("+",P5+AA5,"/",Q5+AB5,"/",R5+AC5)</f>
        <v>+3/2/-1</v>
      </c>
      <c r="H5" s="38">
        <v>20</v>
      </c>
      <c r="I5" s="41" t="str">
        <f>CONCATENATE("longsword +",S5+AD5+Magic!F5," (1d8+",T5+AE5+Magic!F5,"), bow +",U5+AF5+Magic!G5," (1d8+",V5+AG5+Magic!G5,")")</f>
        <v>longsword +3 (1d8+2), bow +3 (1d8+0)</v>
      </c>
      <c r="J5" s="42" t="str">
        <f>GETLEFTTOKENS(Feats!B$4,C5)</f>
        <v>expertise</v>
      </c>
      <c r="K5" s="22">
        <f>TRUNC(DICEAVG(F5))</f>
        <v>6</v>
      </c>
      <c r="M5" s="35">
        <f>Abilities!C$13</f>
        <v>2</v>
      </c>
      <c r="N5" s="35">
        <f>Gear!C$4+Gear!D$4+MIN(Gear!E$4,Abilities!C$13)</f>
        <v>9</v>
      </c>
      <c r="O5" s="35">
        <f>C5*Abilities!D$13</f>
        <v>1</v>
      </c>
      <c r="P5" s="35">
        <f>TRUNC(C5/2+2)+Abilities!D$13</f>
        <v>3</v>
      </c>
      <c r="Q5" s="35">
        <f>TRUNC(C5/3)+Abilities!C$13</f>
        <v>2</v>
      </c>
      <c r="R5" s="35">
        <f>TRUNC(C5/3)+Abilities!F$13</f>
        <v>-1</v>
      </c>
      <c r="S5" s="35">
        <f>TRUNC(C5)+Abilities!B$13</f>
        <v>3</v>
      </c>
      <c r="T5" s="35">
        <f>Abilities!B$13</f>
        <v>2</v>
      </c>
      <c r="U5" s="35">
        <f>TRUNC(C5)+Abilities!C$13</f>
        <v>3</v>
      </c>
      <c r="V5" s="35">
        <v>0</v>
      </c>
      <c r="X5" s="35"/>
      <c r="Y5" s="35"/>
      <c r="Z5" s="35"/>
      <c r="AA5" s="35"/>
      <c r="AB5" s="35"/>
      <c r="AC5" s="35"/>
      <c r="AD5" s="35"/>
      <c r="AE5" s="35"/>
      <c r="AF5" s="35"/>
      <c r="AG5" s="35"/>
    </row>
    <row r="6" spans="2:33" ht="9.75">
      <c r="B6" s="37" t="str">
        <f>CONCATENATE("FtrE",C6)</f>
        <v>FtrE2</v>
      </c>
      <c r="C6" s="38">
        <v>2</v>
      </c>
      <c r="D6" s="39">
        <f>M6+X6</f>
        <v>2</v>
      </c>
      <c r="E6" s="40">
        <f>10+N6+Y6+Magic!D6+Magic!E6</f>
        <v>19</v>
      </c>
      <c r="F6" s="40" t="str">
        <f>CONCATENATE(C6,"d10+",O6+Z6)</f>
        <v>2d10+2</v>
      </c>
      <c r="G6" s="40" t="str">
        <f>CONCATENATE("+",P6+AA6,"/",Q6+AB6,"/",R6+AC6)</f>
        <v>+4/2/-1</v>
      </c>
      <c r="H6" s="38">
        <v>20</v>
      </c>
      <c r="I6" s="41" t="str">
        <f>CONCATENATE("longsword +",S6+AD6+Magic!F6," (1d8+",T6+AE6+Magic!F6,"), bow +",U6+AF6+Magic!G6," (1d8+",V6+AG6+Magic!G6,")")</f>
        <v>longsword +4 (1d8+2), bow +4 (1d8+0)</v>
      </c>
      <c r="J6" s="42" t="str">
        <f>GETLEFTTOKENS(Feats!B$4,C6)</f>
        <v>expertise, dodge</v>
      </c>
      <c r="K6" s="22">
        <f>TRUNC(DICEAVG(F6))</f>
        <v>13</v>
      </c>
      <c r="M6" s="35">
        <f>Abilities!C$13</f>
        <v>2</v>
      </c>
      <c r="N6" s="35">
        <f>Gear!C$4+Gear!D$4+MIN(Gear!E$4,Abilities!C$13)</f>
        <v>9</v>
      </c>
      <c r="O6" s="35">
        <f>C6*Abilities!D$13</f>
        <v>2</v>
      </c>
      <c r="P6" s="35">
        <f>TRUNC(C6/2+2)+Abilities!D$13</f>
        <v>4</v>
      </c>
      <c r="Q6" s="35">
        <f>TRUNC(C6/3)+Abilities!C$13</f>
        <v>2</v>
      </c>
      <c r="R6" s="35">
        <f>TRUNC(C6/3)+Abilities!F$13</f>
        <v>-1</v>
      </c>
      <c r="S6" s="35">
        <f>TRUNC(C6)+Abilities!B$13</f>
        <v>4</v>
      </c>
      <c r="T6" s="35">
        <f>Abilities!B$13</f>
        <v>2</v>
      </c>
      <c r="U6" s="35">
        <f>TRUNC(C6)+Abilities!C$13</f>
        <v>4</v>
      </c>
      <c r="V6" s="35">
        <v>0</v>
      </c>
      <c r="X6" s="35"/>
      <c r="Y6" s="35"/>
      <c r="Z6" s="35"/>
      <c r="AA6" s="35"/>
      <c r="AB6" s="35"/>
      <c r="AC6" s="35"/>
      <c r="AD6" s="35"/>
      <c r="AE6" s="35"/>
      <c r="AF6" s="35"/>
      <c r="AG6" s="35"/>
    </row>
    <row r="7" spans="2:33" ht="9.75">
      <c r="B7" s="37" t="str">
        <f>CONCATENATE("FtrE",C7)</f>
        <v>FtrE3</v>
      </c>
      <c r="C7" s="38">
        <v>3</v>
      </c>
      <c r="D7" s="39">
        <f>M7+X7</f>
        <v>2</v>
      </c>
      <c r="E7" s="40">
        <f>10+N7+Y7+Magic!D7+Magic!E7</f>
        <v>21</v>
      </c>
      <c r="F7" s="40" t="str">
        <f>CONCATENATE(C7,"d10+",O7+Z7)</f>
        <v>3d10+3</v>
      </c>
      <c r="G7" s="40" t="str">
        <f>CONCATENATE("+",P7+AA7,"/",Q7+AB7,"/",R7+AC7)</f>
        <v>+4/3/0</v>
      </c>
      <c r="H7" s="38">
        <v>20</v>
      </c>
      <c r="I7" s="41" t="str">
        <f>CONCATENATE("longsword +",S7+AD7+Magic!F7," (1d8+",T7+AE7+Magic!F7,"), bow +",U7+AF7+Magic!G7," (1d8+",V7+AG7+Magic!G7,")")</f>
        <v>longsword +5 (1d8+2), bow +5 (1d8+0)</v>
      </c>
      <c r="J7" s="42" t="str">
        <f>GETLEFTTOKENS(Feats!B$4,C7)</f>
        <v>expertise, dodge, mobility</v>
      </c>
      <c r="K7" s="22">
        <f>TRUNC(DICEAVG(F7))</f>
        <v>19</v>
      </c>
      <c r="M7" s="35">
        <f>Abilities!C$13</f>
        <v>2</v>
      </c>
      <c r="N7" s="35">
        <f>Gear!C$4+Gear!D$4+MIN(Gear!E$4,Abilities!C$13)</f>
        <v>9</v>
      </c>
      <c r="O7" s="35">
        <f>C7*Abilities!D$13</f>
        <v>3</v>
      </c>
      <c r="P7" s="35">
        <f>TRUNC(C7/2+2)+Abilities!D$13</f>
        <v>4</v>
      </c>
      <c r="Q7" s="35">
        <f>TRUNC(C7/3)+Abilities!C$13</f>
        <v>3</v>
      </c>
      <c r="R7" s="35">
        <f>TRUNC(C7/3)+Abilities!F$13</f>
        <v>0</v>
      </c>
      <c r="S7" s="35">
        <f>TRUNC(C7)+Abilities!B$13</f>
        <v>5</v>
      </c>
      <c r="T7" s="35">
        <f>Abilities!B$13</f>
        <v>2</v>
      </c>
      <c r="U7" s="35">
        <f>TRUNC(C7)+Abilities!C$13</f>
        <v>5</v>
      </c>
      <c r="V7" s="35">
        <v>0</v>
      </c>
      <c r="X7" s="35"/>
      <c r="Y7" s="35"/>
      <c r="Z7" s="35"/>
      <c r="AA7" s="35"/>
      <c r="AB7" s="35"/>
      <c r="AC7" s="35"/>
      <c r="AD7" s="35"/>
      <c r="AE7" s="35"/>
      <c r="AF7" s="35"/>
      <c r="AG7" s="35"/>
    </row>
    <row r="8" spans="2:33" ht="9.75">
      <c r="B8" s="37" t="str">
        <f>CONCATENATE("FtrE",C8)</f>
        <v>FtrE4</v>
      </c>
      <c r="C8" s="38">
        <v>4</v>
      </c>
      <c r="D8" s="39">
        <f>M8+X8</f>
        <v>2</v>
      </c>
      <c r="E8" s="40">
        <f>10+N8+Y8+Magic!D8+Magic!E8</f>
        <v>21</v>
      </c>
      <c r="F8" s="40" t="str">
        <f>CONCATENATE(C8,"d10+",O8+Z8)</f>
        <v>4d10+4</v>
      </c>
      <c r="G8" s="40" t="str">
        <f>CONCATENATE("+",P8+AA8,"/",Q8+AB8,"/",R8+AC8)</f>
        <v>+5/3/0</v>
      </c>
      <c r="H8" s="38">
        <v>20</v>
      </c>
      <c r="I8" s="41" t="str">
        <f>CONCATENATE("longsword +",S8+AD8+Magic!F8," (1d8+",T8+AE8+Magic!F8,"), bow +",U8+AF8+Magic!G8," (1d8+",V8+AG8+Magic!G8,")")</f>
        <v>longsword +7 (1d8+3), bow +6 (1d8+0)</v>
      </c>
      <c r="J8" s="42" t="str">
        <f>GETLEFTTOKENS(Feats!B$4,C8)</f>
        <v>expertise, dodge, mobility, spring atk</v>
      </c>
      <c r="K8" s="22">
        <f>TRUNC(DICEAVG(F8))</f>
        <v>26</v>
      </c>
      <c r="M8" s="35">
        <f>Abilities!C$13</f>
        <v>2</v>
      </c>
      <c r="N8" s="35">
        <f>Gear!C$4+Gear!D$4+MIN(Gear!E$4,Abilities!C$13)</f>
        <v>9</v>
      </c>
      <c r="O8" s="35">
        <f>C8*Abilities!D$13</f>
        <v>4</v>
      </c>
      <c r="P8" s="35">
        <f>TRUNC(C8/2+2)+Abilities!D$13</f>
        <v>5</v>
      </c>
      <c r="Q8" s="35">
        <f>TRUNC(C8/3)+Abilities!C$13</f>
        <v>3</v>
      </c>
      <c r="R8" s="35">
        <f>TRUNC(C8/3)+Abilities!F$13</f>
        <v>0</v>
      </c>
      <c r="S8" s="35">
        <f>TRUNC(C8)+Abilities!B$13</f>
        <v>6</v>
      </c>
      <c r="T8" s="35">
        <f>Abilities!B$13</f>
        <v>2</v>
      </c>
      <c r="U8" s="35">
        <f>TRUNC(C8)+Abilities!C$13</f>
        <v>6</v>
      </c>
      <c r="V8" s="35">
        <v>0</v>
      </c>
      <c r="X8" s="35"/>
      <c r="Y8" s="35"/>
      <c r="Z8" s="35"/>
      <c r="AA8" s="35"/>
      <c r="AB8" s="35"/>
      <c r="AC8" s="35"/>
      <c r="AD8" s="35"/>
      <c r="AE8" s="35"/>
      <c r="AF8" s="35"/>
      <c r="AG8" s="35"/>
    </row>
    <row r="9" spans="2:33" ht="17.25">
      <c r="B9" s="37" t="str">
        <f>CONCATENATE("FtrE",C9)</f>
        <v>FtrE5</v>
      </c>
      <c r="C9" s="38">
        <v>5</v>
      </c>
      <c r="D9" s="39">
        <f>M9+X9</f>
        <v>2</v>
      </c>
      <c r="E9" s="40">
        <f>10+N9+Y9+Magic!D9+Magic!E9</f>
        <v>22</v>
      </c>
      <c r="F9" s="40" t="str">
        <f>CONCATENATE(C9,"d10+",O9+Z9)</f>
        <v>5d10+5</v>
      </c>
      <c r="G9" s="40" t="str">
        <f>CONCATENATE("+",P9+AA9,"/",Q9+AB9,"/",R9+AC9)</f>
        <v>+5/3/0</v>
      </c>
      <c r="H9" s="38">
        <v>20</v>
      </c>
      <c r="I9" s="41" t="str">
        <f>CONCATENATE("longsword +",S9+AD9+Magic!F9," (1d8+",T9+AE9+Magic!F9,"), bow +",U9+AF9+Magic!G9," (1d8+",V9+AG9+Magic!G9,")")</f>
        <v>longsword +8 (1d8+3), bow +7 (1d8+0)</v>
      </c>
      <c r="J9" s="42" t="str">
        <f>GETLEFTTOKENS(Feats!B$4,C9)</f>
        <v>expertise, dodge, mobility, spring atk, whirlwind atk</v>
      </c>
      <c r="K9" s="22">
        <f>TRUNC(DICEAVG(F9))</f>
        <v>32</v>
      </c>
      <c r="M9" s="35">
        <f>Abilities!C$13</f>
        <v>2</v>
      </c>
      <c r="N9" s="35">
        <f>Gear!C$4+Gear!D$4+MIN(Gear!E$4,Abilities!C$13)</f>
        <v>9</v>
      </c>
      <c r="O9" s="35">
        <f>C9*Abilities!D$13</f>
        <v>5</v>
      </c>
      <c r="P9" s="35">
        <f>TRUNC(C9/2+2)+Abilities!D$13</f>
        <v>5</v>
      </c>
      <c r="Q9" s="35">
        <f>TRUNC(C9/3)+Abilities!C$13</f>
        <v>3</v>
      </c>
      <c r="R9" s="35">
        <f>TRUNC(C9/3)+Abilities!F$13</f>
        <v>0</v>
      </c>
      <c r="S9" s="35">
        <f>TRUNC(C9)+Abilities!B$13</f>
        <v>7</v>
      </c>
      <c r="T9" s="35">
        <f>Abilities!B$13</f>
        <v>2</v>
      </c>
      <c r="U9" s="35">
        <f>TRUNC(C9)+Abilities!C$13</f>
        <v>7</v>
      </c>
      <c r="V9" s="35">
        <v>0</v>
      </c>
      <c r="X9" s="35"/>
      <c r="Y9" s="35"/>
      <c r="Z9" s="35"/>
      <c r="AA9" s="35"/>
      <c r="AB9" s="35"/>
      <c r="AC9" s="35"/>
      <c r="AD9" s="35"/>
      <c r="AE9" s="35"/>
      <c r="AF9" s="35"/>
      <c r="AG9" s="35"/>
    </row>
    <row r="10" spans="2:33" ht="17.25">
      <c r="B10" s="37" t="str">
        <f>CONCATENATE("FtrE",C10)</f>
        <v>FtrE6</v>
      </c>
      <c r="C10" s="38">
        <v>6</v>
      </c>
      <c r="D10" s="39">
        <f>M10+X10</f>
        <v>2</v>
      </c>
      <c r="E10" s="40">
        <f>10+N10+Y10+Magic!D10+Magic!E10</f>
        <v>22</v>
      </c>
      <c r="F10" s="40" t="str">
        <f>CONCATENATE(C10,"d10+",O10+Z10)</f>
        <v>6d10+6</v>
      </c>
      <c r="G10" s="40" t="str">
        <f>CONCATENATE("+",P10+AA10,"/",Q10+AB10,"/",R10+AC10)</f>
        <v>+6/4/1</v>
      </c>
      <c r="H10" s="38">
        <v>20</v>
      </c>
      <c r="I10" s="41" t="str">
        <f>CONCATENATE("longsword +",S10+AD10+Magic!F10," (1d8+",T10+AE10+Magic!F10,"), bow +",U10+AF10+Magic!G10," (1d8+",V10+AG10+Magic!G10,")")</f>
        <v>longsword +10 (1d8+3), bow +9 (1d8+1)</v>
      </c>
      <c r="J10" s="42" t="str">
        <f>GETLEFTTOKENS(Feats!B$4,C10)</f>
        <v>expertise, dodge, mobility, spring atk, whirlwind atk, weapon focus</v>
      </c>
      <c r="K10" s="22">
        <f>TRUNC(DICEAVG(F10))</f>
        <v>39</v>
      </c>
      <c r="M10" s="35">
        <f>Abilities!C$13</f>
        <v>2</v>
      </c>
      <c r="N10" s="35">
        <f>Gear!C$4+Gear!D$4+MIN(Gear!E$4,Abilities!C$13)</f>
        <v>9</v>
      </c>
      <c r="O10" s="35">
        <f>C10*Abilities!D$13</f>
        <v>6</v>
      </c>
      <c r="P10" s="35">
        <f>TRUNC(C10/2+2)+Abilities!D$13</f>
        <v>6</v>
      </c>
      <c r="Q10" s="35">
        <f>TRUNC(C10/3)+Abilities!C$13</f>
        <v>4</v>
      </c>
      <c r="R10" s="35">
        <f>TRUNC(C10/3)+Abilities!F$13</f>
        <v>1</v>
      </c>
      <c r="S10" s="35">
        <f>TRUNC(C10)+Abilities!B$13</f>
        <v>8</v>
      </c>
      <c r="T10" s="35">
        <f>Abilities!B$13</f>
        <v>2</v>
      </c>
      <c r="U10" s="35">
        <f>TRUNC(C10)+Abilities!C$13</f>
        <v>8</v>
      </c>
      <c r="V10" s="35">
        <v>0</v>
      </c>
      <c r="X10" s="35"/>
      <c r="Y10" s="35"/>
      <c r="Z10" s="35"/>
      <c r="AA10" s="35"/>
      <c r="AB10" s="35"/>
      <c r="AC10" s="35"/>
      <c r="AD10" s="35">
        <v>1</v>
      </c>
      <c r="AE10" s="35"/>
      <c r="AF10" s="35"/>
      <c r="AG10" s="35"/>
    </row>
    <row r="11" spans="2:33" ht="25.5">
      <c r="B11" s="37" t="str">
        <f>CONCATENATE("FtrE",C11)</f>
        <v>FtrE7</v>
      </c>
      <c r="C11" s="38">
        <v>7</v>
      </c>
      <c r="D11" s="39">
        <f>M11+X11</f>
        <v>2</v>
      </c>
      <c r="E11" s="40">
        <f>10+N11+Y11+Magic!D11+Magic!E11</f>
        <v>24</v>
      </c>
      <c r="F11" s="40" t="str">
        <f>CONCATENATE(C11,"d10+",O11+Z11)</f>
        <v>7d10+7</v>
      </c>
      <c r="G11" s="40" t="str">
        <f>CONCATENATE("+",P11+AA11,"/",Q11+AB11,"/",R11+AC11)</f>
        <v>+6/4/1</v>
      </c>
      <c r="H11" s="38">
        <v>20</v>
      </c>
      <c r="I11" s="41" t="str">
        <f>CONCATENATE("longsword +",S11+AD11+Magic!F11," (1d8+",T11+AE11+Magic!F11,"), bow +",U11+AF11+Magic!G11," (1d8+",V11+AG11+Magic!G11,")")</f>
        <v>longsword +11 (1d8+5), bow +10 (1d8+1)</v>
      </c>
      <c r="J11" s="42" t="str">
        <f>GETLEFTTOKENS(Feats!B$4,C11)</f>
        <v>expertise, dodge, mobility, spring atk, whirlwind atk, weapon focus, weapon spec</v>
      </c>
      <c r="K11" s="22">
        <f>TRUNC(DICEAVG(F11))</f>
        <v>45</v>
      </c>
      <c r="M11" s="35">
        <f>Abilities!C$13</f>
        <v>2</v>
      </c>
      <c r="N11" s="35">
        <f>Gear!C$4+Gear!D$4+MIN(Gear!E$4,Abilities!C$13)</f>
        <v>9</v>
      </c>
      <c r="O11" s="35">
        <f>C11*Abilities!D$13</f>
        <v>7</v>
      </c>
      <c r="P11" s="35">
        <f>TRUNC(C11/2+2)+Abilities!D$13</f>
        <v>6</v>
      </c>
      <c r="Q11" s="35">
        <f>TRUNC(C11/3)+Abilities!C$13</f>
        <v>4</v>
      </c>
      <c r="R11" s="35">
        <f>TRUNC(C11/3)+Abilities!F$13</f>
        <v>1</v>
      </c>
      <c r="S11" s="35">
        <f>TRUNC(C11)+Abilities!B$13</f>
        <v>9</v>
      </c>
      <c r="T11" s="35">
        <f>Abilities!B$13</f>
        <v>2</v>
      </c>
      <c r="U11" s="35">
        <f>TRUNC(C11)+Abilities!C$13</f>
        <v>9</v>
      </c>
      <c r="V11" s="35">
        <v>0</v>
      </c>
      <c r="X11" s="35"/>
      <c r="Y11" s="35"/>
      <c r="Z11" s="35"/>
      <c r="AA11" s="35"/>
      <c r="AB11" s="35"/>
      <c r="AC11" s="35"/>
      <c r="AD11" s="35">
        <v>1</v>
      </c>
      <c r="AE11" s="35">
        <v>2</v>
      </c>
      <c r="AF11" s="35"/>
      <c r="AG11" s="35"/>
    </row>
    <row r="12" spans="2:33" ht="25.5">
      <c r="B12" s="37" t="str">
        <f>CONCATENATE("FtrE",C12)</f>
        <v>FtrE8</v>
      </c>
      <c r="C12" s="38">
        <v>8</v>
      </c>
      <c r="D12" s="39">
        <f>M12+X12</f>
        <v>2</v>
      </c>
      <c r="E12" s="40">
        <f>10+N12+Y12+Magic!D12+Magic!E12</f>
        <v>24</v>
      </c>
      <c r="F12" s="40" t="str">
        <f>CONCATENATE(C12,"d10+",O12+Z12)</f>
        <v>8d10+8</v>
      </c>
      <c r="G12" s="40" t="str">
        <f>CONCATENATE("+",P12+AA12,"/",Q12+AB12,"/",R12+AC12)</f>
        <v>+7/4/1</v>
      </c>
      <c r="H12" s="38">
        <v>20</v>
      </c>
      <c r="I12" s="41" t="str">
        <f>CONCATENATE("longsword +",S12+AD12+Magic!F12," (1d8+",T12+AE12+Magic!F12,"), bow +",U12+AF12+Magic!G12," (1d8+",V12+AG12+Magic!G12,")")</f>
        <v>longsword +13 (1d8+6), bow +11 (1d8+1)</v>
      </c>
      <c r="J12" s="42" t="str">
        <f>GETLEFTTOKENS(Feats!B$4,C12)</f>
        <v>expertise, dodge, mobility, spring atk, whirlwind atk, weapon focus, weapon spec, imp crit</v>
      </c>
      <c r="K12" s="22">
        <f>TRUNC(DICEAVG(F12))</f>
        <v>52</v>
      </c>
      <c r="M12" s="35">
        <f>Abilities!C$13</f>
        <v>2</v>
      </c>
      <c r="N12" s="35">
        <f>Gear!C$4+Gear!D$4+MIN(Gear!E$4,Abilities!C$13)</f>
        <v>9</v>
      </c>
      <c r="O12" s="35">
        <f>C12*Abilities!D$13</f>
        <v>8</v>
      </c>
      <c r="P12" s="35">
        <f>TRUNC(C12/2+2)+Abilities!D$13</f>
        <v>7</v>
      </c>
      <c r="Q12" s="35">
        <f>TRUNC(C12/3)+Abilities!C$13</f>
        <v>4</v>
      </c>
      <c r="R12" s="35">
        <f>TRUNC(C12/3)+Abilities!F$13</f>
        <v>1</v>
      </c>
      <c r="S12" s="35">
        <f>TRUNC(C12)+Abilities!B$13</f>
        <v>10</v>
      </c>
      <c r="T12" s="35">
        <f>Abilities!B$13</f>
        <v>2</v>
      </c>
      <c r="U12" s="35">
        <f>TRUNC(C12)+Abilities!C$13</f>
        <v>10</v>
      </c>
      <c r="V12" s="35">
        <v>0</v>
      </c>
      <c r="X12" s="35"/>
      <c r="Y12" s="35"/>
      <c r="Z12" s="35"/>
      <c r="AA12" s="35"/>
      <c r="AB12" s="35"/>
      <c r="AC12" s="35"/>
      <c r="AD12" s="35">
        <v>1</v>
      </c>
      <c r="AE12" s="35">
        <v>2</v>
      </c>
      <c r="AF12" s="35"/>
      <c r="AG12" s="35"/>
    </row>
    <row r="13" spans="2:33" ht="25.5">
      <c r="B13" s="37" t="str">
        <f>CONCATENATE("FtrE",C13)</f>
        <v>FtrE9</v>
      </c>
      <c r="C13" s="38">
        <v>9</v>
      </c>
      <c r="D13" s="39">
        <f>M13+X13</f>
        <v>2</v>
      </c>
      <c r="E13" s="40">
        <f>10+N13+Y13+Magic!D13+Magic!E13</f>
        <v>25</v>
      </c>
      <c r="F13" s="40" t="str">
        <f>CONCATENATE(C13,"d10+",O13+Z13)</f>
        <v>9d10+9</v>
      </c>
      <c r="G13" s="40" t="str">
        <f>CONCATENATE("+",P13+AA13,"/",Q13+AB13,"/",R13+AC13)</f>
        <v>+7/5/2</v>
      </c>
      <c r="H13" s="38">
        <v>20</v>
      </c>
      <c r="I13" s="41" t="str">
        <f>CONCATENATE("longsword +",S13+AD13+Magic!F13," (1d8+",T13+AE13+Magic!F13,"), bow +",U13+AF13+Magic!G13," (1d8+",V13+AG13+Magic!G13,")")</f>
        <v>longsword +14 (1d8+6), bow +13 (1d8+2)</v>
      </c>
      <c r="J13" s="42" t="str">
        <f>GETLEFTTOKENS(Feats!B$4,C13)</f>
        <v>expertise, dodge, mobility, spring atk, whirlwind atk, weapon focus, weapon spec, imp crit, combat reflexes</v>
      </c>
      <c r="K13" s="22">
        <f>TRUNC(DICEAVG(F13))</f>
        <v>58</v>
      </c>
      <c r="M13" s="35">
        <f>Abilities!C$13</f>
        <v>2</v>
      </c>
      <c r="N13" s="35">
        <f>Gear!C$4+Gear!D$4+MIN(Gear!E$4,Abilities!C$13)</f>
        <v>9</v>
      </c>
      <c r="O13" s="35">
        <f>C13*Abilities!D$13</f>
        <v>9</v>
      </c>
      <c r="P13" s="35">
        <f>TRUNC(C13/2+2)+Abilities!D$13</f>
        <v>7</v>
      </c>
      <c r="Q13" s="35">
        <f>TRUNC(C13/3)+Abilities!C$13</f>
        <v>5</v>
      </c>
      <c r="R13" s="35">
        <f>TRUNC(C13/3)+Abilities!F$13</f>
        <v>2</v>
      </c>
      <c r="S13" s="35">
        <f>TRUNC(C13)+Abilities!B$13</f>
        <v>11</v>
      </c>
      <c r="T13" s="35">
        <f>Abilities!B$13</f>
        <v>2</v>
      </c>
      <c r="U13" s="35">
        <f>TRUNC(C13)+Abilities!C$13</f>
        <v>11</v>
      </c>
      <c r="V13" s="35">
        <v>0</v>
      </c>
      <c r="X13" s="35"/>
      <c r="Y13" s="35"/>
      <c r="Z13" s="35"/>
      <c r="AA13" s="35"/>
      <c r="AB13" s="35"/>
      <c r="AC13" s="35"/>
      <c r="AD13" s="35">
        <v>1</v>
      </c>
      <c r="AE13" s="35">
        <v>2</v>
      </c>
      <c r="AF13" s="35"/>
      <c r="AG13" s="35"/>
    </row>
    <row r="14" spans="2:33" ht="33.75">
      <c r="B14" s="37" t="str">
        <f>CONCATENATE("FtrE",C14)</f>
        <v>FtrE10</v>
      </c>
      <c r="C14" s="38">
        <v>10</v>
      </c>
      <c r="D14" s="39">
        <f>M14+X14</f>
        <v>2</v>
      </c>
      <c r="E14" s="40">
        <f>10+N14+Y14+Magic!D14+Magic!E14</f>
        <v>25</v>
      </c>
      <c r="F14" s="40" t="str">
        <f>CONCATENATE(C14,"d10+",O14+Z14)</f>
        <v>10d10+10</v>
      </c>
      <c r="G14" s="40" t="str">
        <f>CONCATENATE("+",P14+AA14,"/",Q14+AB14,"/",R14+AC14)</f>
        <v>+8/5/2</v>
      </c>
      <c r="H14" s="38">
        <v>20</v>
      </c>
      <c r="I14" s="41" t="str">
        <f>CONCATENATE("longsword +",S14+AD14+Magic!F14," (1d8+",T14+AE14+Magic!F14,"), bow +",U14+AF14+Magic!G14," (1d8+",V14+AG14+Magic!G14,")")</f>
        <v>longsword +16 (1d8+7), bow +14 (1d8+2)</v>
      </c>
      <c r="J14" s="42" t="str">
        <f>GETLEFTTOKENS(Feats!B$4,C14)</f>
        <v>expertise, dodge, mobility, spring atk, whirlwind atk, weapon focus, weapon spec, imp crit, combat reflexes, rapid atk</v>
      </c>
      <c r="K14" s="22">
        <f>TRUNC(DICEAVG(F14))</f>
        <v>65</v>
      </c>
      <c r="M14" s="35">
        <f>Abilities!C$13</f>
        <v>2</v>
      </c>
      <c r="N14" s="35">
        <f>Gear!C$4+Gear!D$4+MIN(Gear!E$4,Abilities!C$13)</f>
        <v>9</v>
      </c>
      <c r="O14" s="35">
        <f>C14*Abilities!D$13</f>
        <v>10</v>
      </c>
      <c r="P14" s="35">
        <f>TRUNC(C14/2+2)+Abilities!D$13</f>
        <v>8</v>
      </c>
      <c r="Q14" s="35">
        <f>TRUNC(C14/3)+Abilities!C$13</f>
        <v>5</v>
      </c>
      <c r="R14" s="35">
        <f>TRUNC(C14/3)+Abilities!F$13</f>
        <v>2</v>
      </c>
      <c r="S14" s="35">
        <f>TRUNC(C14)+Abilities!B$13</f>
        <v>12</v>
      </c>
      <c r="T14" s="35">
        <f>Abilities!B$13</f>
        <v>2</v>
      </c>
      <c r="U14" s="35">
        <f>TRUNC(C14)+Abilities!C$13</f>
        <v>12</v>
      </c>
      <c r="V14" s="35">
        <v>0</v>
      </c>
      <c r="X14" s="35"/>
      <c r="Y14" s="35"/>
      <c r="Z14" s="35"/>
      <c r="AA14" s="35"/>
      <c r="AB14" s="35"/>
      <c r="AC14" s="35"/>
      <c r="AD14" s="35">
        <v>1</v>
      </c>
      <c r="AE14" s="35">
        <v>2</v>
      </c>
      <c r="AF14" s="35"/>
      <c r="AG14" s="35"/>
    </row>
    <row r="15" spans="2:33" ht="33.75">
      <c r="B15" s="37" t="str">
        <f>CONCATENATE("FtrE",C15)</f>
        <v>FtrE11</v>
      </c>
      <c r="C15" s="38">
        <v>11</v>
      </c>
      <c r="D15" s="39">
        <f>M15+X15</f>
        <v>2</v>
      </c>
      <c r="E15" s="40">
        <f>10+N15+Y15+Magic!D15+Magic!E15</f>
        <v>26</v>
      </c>
      <c r="F15" s="40" t="str">
        <f>CONCATENATE(C15,"d10+",O15+Z15)</f>
        <v>11d10+11</v>
      </c>
      <c r="G15" s="40" t="str">
        <f>CONCATENATE("+",P15+AA15,"/",Q15+AB15,"/",R15+AC15)</f>
        <v>+8/5/2</v>
      </c>
      <c r="H15" s="38">
        <v>20</v>
      </c>
      <c r="I15" s="41" t="str">
        <f>CONCATENATE("longsword +",S15+AD15+Magic!F15," (1d8+",T15+AE15+Magic!F15,"), bow +",U15+AF15+Magic!G15," (1d8+",V15+AG15+Magic!G15,")")</f>
        <v>longsword +17 (1d8+7), bow +16 (1d8+3)</v>
      </c>
      <c r="J15" s="42" t="str">
        <f>GETLEFTTOKENS(Feats!B$4,C15)</f>
        <v>expertise, dodge, mobility, spring atk, whirlwind atk, weapon focus, weapon spec, imp crit, combat reflexes, rapid atk, imp disarm</v>
      </c>
      <c r="K15" s="22">
        <f>TRUNC(DICEAVG(F15))</f>
        <v>71</v>
      </c>
      <c r="M15" s="35">
        <f>Abilities!C$13</f>
        <v>2</v>
      </c>
      <c r="N15" s="35">
        <f>Gear!C$4+Gear!D$4+MIN(Gear!E$4,Abilities!C$13)</f>
        <v>9</v>
      </c>
      <c r="O15" s="35">
        <f>C15*Abilities!D$13</f>
        <v>11</v>
      </c>
      <c r="P15" s="35">
        <f>TRUNC(C15/2+2)+Abilities!D$13</f>
        <v>8</v>
      </c>
      <c r="Q15" s="35">
        <f>TRUNC(C15/3)+Abilities!C$13</f>
        <v>5</v>
      </c>
      <c r="R15" s="35">
        <f>TRUNC(C15/3)+Abilities!F$13</f>
        <v>2</v>
      </c>
      <c r="S15" s="35">
        <f>TRUNC(C15)+Abilities!B$13</f>
        <v>13</v>
      </c>
      <c r="T15" s="35">
        <f>Abilities!B$13</f>
        <v>2</v>
      </c>
      <c r="U15" s="35">
        <f>TRUNC(C15)+Abilities!C$13</f>
        <v>13</v>
      </c>
      <c r="V15" s="35">
        <v>0</v>
      </c>
      <c r="X15" s="35"/>
      <c r="Y15" s="35"/>
      <c r="Z15" s="35"/>
      <c r="AA15" s="35"/>
      <c r="AB15" s="35"/>
      <c r="AC15" s="35"/>
      <c r="AD15" s="35">
        <v>1</v>
      </c>
      <c r="AE15" s="35">
        <v>2</v>
      </c>
      <c r="AF15" s="35"/>
      <c r="AG15" s="35"/>
    </row>
    <row r="16" spans="2:33" ht="33.75">
      <c r="B16" s="37" t="str">
        <f>CONCATENATE("FtrE",C16)</f>
        <v>FtrE12</v>
      </c>
      <c r="C16" s="38">
        <v>12</v>
      </c>
      <c r="D16" s="39">
        <f>M16+X16</f>
        <v>2</v>
      </c>
      <c r="E16" s="40">
        <f>10+N16+Y16+Magic!D16+Magic!E16</f>
        <v>27</v>
      </c>
      <c r="F16" s="40" t="str">
        <f>CONCATENATE(C16,"d10+",O16+Z16)</f>
        <v>12d10+12</v>
      </c>
      <c r="G16" s="40" t="str">
        <f>CONCATENATE("+",P16+AA16,"/",Q16+AB16,"/",R16+AC16)</f>
        <v>+9/6/3</v>
      </c>
      <c r="H16" s="38">
        <v>20</v>
      </c>
      <c r="I16" s="41" t="str">
        <f>CONCATENATE("longsword +",S16+AD16+Magic!F16," (1d8+",T16+AE16+Magic!F16,"), bow +",U16+AF16+Magic!G16," (1d8+",V16+AG16+Magic!G16,")")</f>
        <v>longsword +19 (1d8+8), bow +17 (1d8+3)</v>
      </c>
      <c r="J16" s="42" t="str">
        <f>GETLEFTTOKENS(Feats!B$4,C16)</f>
        <v>expertise, dodge, mobility, spring atk, whirlwind atk, weapon focus, weapon spec, imp crit, combat reflexes, rapid atk, imp disarm, blind-fight</v>
      </c>
      <c r="K16" s="22">
        <f>TRUNC(DICEAVG(F16))</f>
        <v>78</v>
      </c>
      <c r="M16" s="35">
        <f>Abilities!C$13</f>
        <v>2</v>
      </c>
      <c r="N16" s="35">
        <f>Gear!C$4+Gear!D$4+MIN(Gear!E$4,Abilities!C$13)</f>
        <v>9</v>
      </c>
      <c r="O16" s="35">
        <f>C16*Abilities!D$13</f>
        <v>12</v>
      </c>
      <c r="P16" s="35">
        <f>TRUNC(C16/2+2)+Abilities!D$13</f>
        <v>9</v>
      </c>
      <c r="Q16" s="35">
        <f>TRUNC(C16/3)+Abilities!C$13</f>
        <v>6</v>
      </c>
      <c r="R16" s="35">
        <f>TRUNC(C16/3)+Abilities!F$13</f>
        <v>3</v>
      </c>
      <c r="S16" s="35">
        <f>TRUNC(C16)+Abilities!B$13</f>
        <v>14</v>
      </c>
      <c r="T16" s="35">
        <f>Abilities!B$13</f>
        <v>2</v>
      </c>
      <c r="U16" s="35">
        <f>TRUNC(C16)+Abilities!C$13</f>
        <v>14</v>
      </c>
      <c r="V16" s="35">
        <v>0</v>
      </c>
      <c r="X16" s="35"/>
      <c r="Y16" s="35"/>
      <c r="Z16" s="35"/>
      <c r="AA16" s="35"/>
      <c r="AB16" s="35"/>
      <c r="AC16" s="35"/>
      <c r="AD16" s="35">
        <v>1</v>
      </c>
      <c r="AE16" s="35">
        <v>2</v>
      </c>
      <c r="AF16" s="35"/>
      <c r="AG16" s="35"/>
    </row>
    <row r="17" spans="2:33" ht="9">
      <c r="B17" s="29"/>
      <c r="C17" s="30"/>
      <c r="D17" s="31"/>
      <c r="E17" s="30"/>
      <c r="F17" s="30"/>
      <c r="G17" s="36"/>
      <c r="H17" s="30"/>
      <c r="I17" s="32"/>
      <c r="J17" s="33"/>
      <c r="K17" s="35"/>
      <c r="M17" s="35"/>
      <c r="N17" s="35"/>
      <c r="O17" s="35"/>
      <c r="P17" s="35"/>
      <c r="Q17" s="35"/>
      <c r="R17" s="35"/>
      <c r="S17" s="35"/>
      <c r="T17" s="35"/>
      <c r="U17" s="35"/>
      <c r="V17" s="35"/>
      <c r="X17" s="35"/>
      <c r="Y17" s="35"/>
      <c r="Z17" s="35"/>
      <c r="AA17" s="35"/>
      <c r="AB17" s="35"/>
      <c r="AC17" s="35"/>
      <c r="AD17" s="35"/>
      <c r="AE17" s="35"/>
      <c r="AF17" s="35"/>
      <c r="AG17" s="35"/>
    </row>
    <row r="18" spans="2:33" ht="9">
      <c r="B18" s="29"/>
      <c r="C18" s="30"/>
      <c r="D18" s="31"/>
      <c r="E18" s="30"/>
      <c r="F18" s="30"/>
      <c r="G18" s="36"/>
      <c r="H18" s="30"/>
      <c r="I18" s="32"/>
      <c r="J18" s="33"/>
      <c r="K18" s="35"/>
      <c r="M18" s="35"/>
      <c r="N18" s="35"/>
      <c r="O18" s="35"/>
      <c r="P18" s="35"/>
      <c r="Q18" s="35"/>
      <c r="R18" s="35"/>
      <c r="S18" s="35"/>
      <c r="T18" s="35"/>
      <c r="U18" s="35"/>
      <c r="V18" s="35"/>
      <c r="X18" s="35"/>
      <c r="Y18" s="35"/>
      <c r="Z18" s="35"/>
      <c r="AA18" s="35"/>
      <c r="AB18" s="35"/>
      <c r="AC18" s="35"/>
      <c r="AD18" s="35"/>
      <c r="AE18" s="35"/>
      <c r="AF18" s="35"/>
      <c r="AG18" s="35"/>
    </row>
    <row r="19" spans="2:33" ht="9.75">
      <c r="B19" s="37" t="str">
        <f>CONCATENATE("FtrP",C19)</f>
        <v>FtrP1</v>
      </c>
      <c r="C19" s="38">
        <v>1</v>
      </c>
      <c r="D19" s="39">
        <f>M19+X19</f>
        <v>1</v>
      </c>
      <c r="E19" s="40">
        <f>10+N19+Y19+Magic!D5+Magic!E5</f>
        <v>17</v>
      </c>
      <c r="F19" s="40" t="str">
        <f>CONCATENATE(C19,"d10+",O19+Z19)</f>
        <v>1d10+2</v>
      </c>
      <c r="G19" s="40" t="str">
        <f>CONCATENATE("+",P19+AA19,"/",Q19+AB19,"/",R19+AC19)</f>
        <v>+4/1/1</v>
      </c>
      <c r="H19" s="38">
        <v>20</v>
      </c>
      <c r="I19" s="41" t="str">
        <f>CONCATENATE("greataxe +",S19+AD19+Magic!F5," (1d12+",T19+AE19+Magic!F5,"), bow +",U19+AF19+Magic!G5," (1d8+",V19+AG19+Magic!G5,")")</f>
        <v>greataxe +3 (1d12+3), bow +2 (1d8+0)</v>
      </c>
      <c r="J19" s="42" t="str">
        <f>GETLEFTTOKENS(Feats!B$5,C19)</f>
        <v>power atk</v>
      </c>
      <c r="K19" s="22">
        <f>TRUNC(DICEAVG(F19))</f>
        <v>7</v>
      </c>
      <c r="M19" s="35">
        <f>Abilities!C$14</f>
        <v>1</v>
      </c>
      <c r="N19" s="35">
        <f>Gear!C$5+Gear!D$5+MIN(Gear!E$5,Abilities!C$14)</f>
        <v>7</v>
      </c>
      <c r="O19" s="35">
        <f>C19*Abilities!D$14</f>
        <v>2</v>
      </c>
      <c r="P19" s="35">
        <f>TRUNC(C19/2+2)+Abilities!D$14</f>
        <v>4</v>
      </c>
      <c r="Q19" s="35">
        <f>TRUNC(C19/3)+Abilities!C$14</f>
        <v>1</v>
      </c>
      <c r="R19" s="35">
        <f>TRUNC(C19/3)+Abilities!F$14</f>
        <v>1</v>
      </c>
      <c r="S19" s="35">
        <f>TRUNC(C19)+Abilities!B$14</f>
        <v>3</v>
      </c>
      <c r="T19" s="35">
        <f>TRUNC(Abilities!B$14*1.5)</f>
        <v>3</v>
      </c>
      <c r="U19" s="35">
        <f>TRUNC(C19)+Abilities!C$14</f>
        <v>2</v>
      </c>
      <c r="V19" s="35">
        <v>0</v>
      </c>
      <c r="X19" s="35"/>
      <c r="Y19" s="35"/>
      <c r="Z19" s="35"/>
      <c r="AA19" s="35"/>
      <c r="AB19" s="35"/>
      <c r="AC19" s="35"/>
      <c r="AD19" s="35"/>
      <c r="AE19" s="35"/>
      <c r="AF19" s="35"/>
      <c r="AG19" s="35"/>
    </row>
    <row r="20" spans="2:33" ht="9.75">
      <c r="B20" s="37" t="str">
        <f>CONCATENATE("FtrP",C20)</f>
        <v>FtrP2</v>
      </c>
      <c r="C20" s="38">
        <v>2</v>
      </c>
      <c r="D20" s="39">
        <f>M20+X20</f>
        <v>1</v>
      </c>
      <c r="E20" s="40">
        <f>10+N20+Y20+Magic!D6+Magic!E6</f>
        <v>17</v>
      </c>
      <c r="F20" s="40" t="str">
        <f>CONCATENATE(C20,"d10+",O20+Z20)</f>
        <v>2d10+4</v>
      </c>
      <c r="G20" s="40" t="str">
        <f>CONCATENATE("+",P20+AA20,"/",Q20+AB20,"/",R20+AC20)</f>
        <v>+5/1/1</v>
      </c>
      <c r="H20" s="38">
        <v>20</v>
      </c>
      <c r="I20" s="41" t="str">
        <f>CONCATENATE("greataxe +",S20+AD20+Magic!F6," (1d12+",T20+AE20+Magic!F6,"), bow +",U20+AF20+Magic!G6," (1d8+",V20+AG20+Magic!G6,")")</f>
        <v>greataxe +4 (1d12+3), bow +3 (1d8+0)</v>
      </c>
      <c r="J20" s="42" t="str">
        <f>GETLEFTTOKENS(Feats!B$5,C20)</f>
        <v>power atk, armor prof (heavy)</v>
      </c>
      <c r="K20" s="22">
        <f>TRUNC(DICEAVG(F20))</f>
        <v>15</v>
      </c>
      <c r="M20" s="35">
        <f>Abilities!C$14</f>
        <v>1</v>
      </c>
      <c r="N20" s="35">
        <f>Gear!C$5+Gear!D$5+MIN(Gear!E$5,Abilities!C$14)</f>
        <v>7</v>
      </c>
      <c r="O20" s="35">
        <f>C20*Abilities!D$14</f>
        <v>4</v>
      </c>
      <c r="P20" s="35">
        <f>TRUNC(C20/2+2)+Abilities!D$14</f>
        <v>5</v>
      </c>
      <c r="Q20" s="35">
        <f>TRUNC(C20/3)+Abilities!C$14</f>
        <v>1</v>
      </c>
      <c r="R20" s="35">
        <f>TRUNC(C20/3)+Abilities!F$14</f>
        <v>1</v>
      </c>
      <c r="S20" s="35">
        <f>TRUNC(C20)+Abilities!B$14</f>
        <v>4</v>
      </c>
      <c r="T20" s="35">
        <f>TRUNC(Abilities!B$14*1.5)</f>
        <v>3</v>
      </c>
      <c r="U20" s="35">
        <f>TRUNC(C20)+Abilities!C$14</f>
        <v>3</v>
      </c>
      <c r="V20" s="35">
        <v>0</v>
      </c>
      <c r="X20" s="35"/>
      <c r="Y20" s="35"/>
      <c r="Z20" s="35"/>
      <c r="AA20" s="35"/>
      <c r="AB20" s="35"/>
      <c r="AC20" s="35"/>
      <c r="AD20" s="35"/>
      <c r="AE20" s="35"/>
      <c r="AF20" s="35"/>
      <c r="AG20" s="35"/>
    </row>
    <row r="21" spans="2:33" ht="17.25">
      <c r="B21" s="37" t="str">
        <f>CONCATENATE("FtrP",C21)</f>
        <v>FtrP3</v>
      </c>
      <c r="C21" s="38">
        <v>3</v>
      </c>
      <c r="D21" s="39">
        <f>M21+X21</f>
        <v>1</v>
      </c>
      <c r="E21" s="40">
        <f>10+N21+Y21+Magic!D7+Magic!E7</f>
        <v>19</v>
      </c>
      <c r="F21" s="40" t="str">
        <f>CONCATENATE(C21,"d10+",O21+Z21)</f>
        <v>3d10+6</v>
      </c>
      <c r="G21" s="40" t="str">
        <f>CONCATENATE("+",P21+AA21,"/",Q21+AB21,"/",R21+AC21)</f>
        <v>+5/2/2</v>
      </c>
      <c r="H21" s="38">
        <v>20</v>
      </c>
      <c r="I21" s="41" t="str">
        <f>CONCATENATE("greataxe +",S21+AD21+Magic!F7," (1d12+",T21+AE21+Magic!F7,"), bow +",U21+AF21+Magic!G7," (1d8+",V21+AG21+Magic!G7,")")</f>
        <v>greataxe +6 (1d12+3), bow +4 (1d8+0)</v>
      </c>
      <c r="J21" s="42" t="str">
        <f>GETLEFTTOKENS(Feats!B$5,C21)</f>
        <v>power atk, armor prof (heavy), weapon focus</v>
      </c>
      <c r="K21" s="22">
        <f>TRUNC(DICEAVG(F21))</f>
        <v>22</v>
      </c>
      <c r="M21" s="35">
        <f>Abilities!C$14</f>
        <v>1</v>
      </c>
      <c r="N21" s="35">
        <f>Gear!C$5+Gear!D$5+MIN(Gear!E$5,Abilities!C$14)</f>
        <v>7</v>
      </c>
      <c r="O21" s="35">
        <f>C21*Abilities!D$14</f>
        <v>6</v>
      </c>
      <c r="P21" s="35">
        <f>TRUNC(C21/2+2)+Abilities!D$14</f>
        <v>5</v>
      </c>
      <c r="Q21" s="35">
        <f>TRUNC(C21/3)+Abilities!C$14</f>
        <v>2</v>
      </c>
      <c r="R21" s="35">
        <f>TRUNC(C21/3)+Abilities!F$14</f>
        <v>2</v>
      </c>
      <c r="S21" s="35">
        <f>TRUNC(C21)+Abilities!B$14</f>
        <v>5</v>
      </c>
      <c r="T21" s="35">
        <f>TRUNC(Abilities!B$14*1.5)</f>
        <v>3</v>
      </c>
      <c r="U21" s="35">
        <f>TRUNC(C21)+Abilities!C$14</f>
        <v>4</v>
      </c>
      <c r="V21" s="35">
        <v>0</v>
      </c>
      <c r="X21" s="35"/>
      <c r="Y21" s="35"/>
      <c r="Z21" s="35"/>
      <c r="AA21" s="35"/>
      <c r="AB21" s="35"/>
      <c r="AC21" s="35"/>
      <c r="AD21" s="35">
        <v>1</v>
      </c>
      <c r="AE21" s="35"/>
      <c r="AF21" s="35"/>
      <c r="AG21" s="35"/>
    </row>
    <row r="22" spans="2:33" ht="17.25">
      <c r="B22" s="37" t="str">
        <f>CONCATENATE("FtrP",C22)</f>
        <v>FtrP4</v>
      </c>
      <c r="C22" s="38">
        <v>4</v>
      </c>
      <c r="D22" s="39">
        <f>M22+X22</f>
        <v>1</v>
      </c>
      <c r="E22" s="40">
        <f>10+N22+Y22+Magic!D8+Magic!E8</f>
        <v>19</v>
      </c>
      <c r="F22" s="40" t="str">
        <f>CONCATENATE(C22,"d10+",O22+Z22)</f>
        <v>4d10+8</v>
      </c>
      <c r="G22" s="40" t="str">
        <f>CONCATENATE("+",P22+AA22,"/",Q22+AB22,"/",R22+AC22)</f>
        <v>+6/2/2</v>
      </c>
      <c r="H22" s="38">
        <v>20</v>
      </c>
      <c r="I22" s="41" t="str">
        <f>CONCATENATE("greataxe +",S22+AD22+Magic!F8," (1d12+",T22+AE22+Magic!F8,"), bow +",U22+AF22+Magic!G8," (1d8+",V22+AG22+Magic!G8,")")</f>
        <v>greataxe +8 (1d12+6), bow +5 (1d8+0)</v>
      </c>
      <c r="J22" s="42" t="str">
        <f>GETLEFTTOKENS(Feats!B$5,C22)</f>
        <v>power atk, armor prof (heavy), weapon focus, weapon spec</v>
      </c>
      <c r="K22" s="22">
        <f>TRUNC(DICEAVG(F22))</f>
        <v>30</v>
      </c>
      <c r="M22" s="35">
        <f>Abilities!C$14</f>
        <v>1</v>
      </c>
      <c r="N22" s="35">
        <f>Gear!C$5+Gear!D$5+MIN(Gear!E$5,Abilities!C$14)</f>
        <v>7</v>
      </c>
      <c r="O22" s="35">
        <f>C22*Abilities!D$14</f>
        <v>8</v>
      </c>
      <c r="P22" s="35">
        <f>TRUNC(C22/2+2)+Abilities!D$14</f>
        <v>6</v>
      </c>
      <c r="Q22" s="35">
        <f>TRUNC(C22/3)+Abilities!C$14</f>
        <v>2</v>
      </c>
      <c r="R22" s="35">
        <f>TRUNC(C22/3)+Abilities!F$14</f>
        <v>2</v>
      </c>
      <c r="S22" s="35">
        <f>TRUNC(C22)+Abilities!B$14</f>
        <v>6</v>
      </c>
      <c r="T22" s="35">
        <f>TRUNC(Abilities!B$14*1.5)</f>
        <v>3</v>
      </c>
      <c r="U22" s="35">
        <f>TRUNC(C22)+Abilities!C$14</f>
        <v>5</v>
      </c>
      <c r="V22" s="35">
        <v>0</v>
      </c>
      <c r="X22" s="35"/>
      <c r="Y22" s="35"/>
      <c r="Z22" s="35"/>
      <c r="AA22" s="35"/>
      <c r="AB22" s="35"/>
      <c r="AC22" s="35"/>
      <c r="AD22" s="35">
        <v>1</v>
      </c>
      <c r="AE22" s="35">
        <v>2</v>
      </c>
      <c r="AF22" s="35"/>
      <c r="AG22" s="35"/>
    </row>
    <row r="23" spans="2:33" ht="17.25">
      <c r="B23" s="37" t="str">
        <f>CONCATENATE("FtrP",C23)</f>
        <v>FtrP5</v>
      </c>
      <c r="C23" s="38">
        <v>5</v>
      </c>
      <c r="D23" s="39">
        <f>M23+X23</f>
        <v>1</v>
      </c>
      <c r="E23" s="40">
        <f>10+N23+Y23+Magic!D9+Magic!E9</f>
        <v>20</v>
      </c>
      <c r="F23" s="40" t="str">
        <f>CONCATENATE(C23,"d10+",O23+Z23)</f>
        <v>5d10+10</v>
      </c>
      <c r="G23" s="40" t="str">
        <f>CONCATENATE("+",P23+AA23,"/",Q23+AB23,"/",R23+AC23)</f>
        <v>+6/2/2</v>
      </c>
      <c r="H23" s="38">
        <v>20</v>
      </c>
      <c r="I23" s="41" t="str">
        <f>CONCATENATE("greataxe +",S23+AD23+Magic!F9," (1d12+",T23+AE23+Magic!F9,"), bow +",U23+AF23+Magic!G9," (1d8+",V23+AG23+Magic!G9,")")</f>
        <v>greataxe +9 (1d12+6), bow +6 (1d8+0)</v>
      </c>
      <c r="J23" s="42" t="str">
        <f>GETLEFTTOKENS(Feats!B$5,C23)</f>
        <v>power atk, armor prof (heavy), weapon focus, weapon spec, dodge</v>
      </c>
      <c r="K23" s="22">
        <f>TRUNC(DICEAVG(F23))</f>
        <v>37</v>
      </c>
      <c r="M23" s="35">
        <f>Abilities!C$14</f>
        <v>1</v>
      </c>
      <c r="N23" s="35">
        <f>Gear!C$5+Gear!D$5+MIN(Gear!E$5,Abilities!C$14)</f>
        <v>7</v>
      </c>
      <c r="O23" s="35">
        <f>C23*Abilities!D$14</f>
        <v>10</v>
      </c>
      <c r="P23" s="35">
        <f>TRUNC(C23/2+2)+Abilities!D$14</f>
        <v>6</v>
      </c>
      <c r="Q23" s="35">
        <f>TRUNC(C23/3)+Abilities!C$14</f>
        <v>2</v>
      </c>
      <c r="R23" s="35">
        <f>TRUNC(C23/3)+Abilities!F$14</f>
        <v>2</v>
      </c>
      <c r="S23" s="35">
        <f>TRUNC(C23)+Abilities!B$14</f>
        <v>7</v>
      </c>
      <c r="T23" s="35">
        <f>TRUNC(Abilities!B$14*1.5)</f>
        <v>3</v>
      </c>
      <c r="U23" s="35">
        <f>TRUNC(C23)+Abilities!C$14</f>
        <v>6</v>
      </c>
      <c r="V23" s="35">
        <v>0</v>
      </c>
      <c r="X23" s="35"/>
      <c r="Y23" s="35"/>
      <c r="Z23" s="35"/>
      <c r="AA23" s="35"/>
      <c r="AB23" s="35"/>
      <c r="AC23" s="35"/>
      <c r="AD23" s="35">
        <v>1</v>
      </c>
      <c r="AE23" s="35">
        <v>2</v>
      </c>
      <c r="AF23" s="35"/>
      <c r="AG23" s="35"/>
    </row>
    <row r="24" spans="2:33" ht="17.25">
      <c r="B24" s="37" t="str">
        <f>CONCATENATE("FtrP",C24)</f>
        <v>FtrP6</v>
      </c>
      <c r="C24" s="38">
        <v>6</v>
      </c>
      <c r="D24" s="39">
        <f>M24+X24</f>
        <v>1</v>
      </c>
      <c r="E24" s="40">
        <f>10+N24+Y24+Magic!D10+Magic!E10</f>
        <v>20</v>
      </c>
      <c r="F24" s="40" t="str">
        <f>CONCATENATE(C24,"d10+",O24+Z24)</f>
        <v>6d10+12</v>
      </c>
      <c r="G24" s="40" t="str">
        <f>CONCATENATE("+",P24+AA24,"/",Q24+AB24,"/",R24+AC24)</f>
        <v>+7/3/3</v>
      </c>
      <c r="H24" s="38">
        <v>20</v>
      </c>
      <c r="I24" s="41" t="str">
        <f>CONCATENATE("greataxe +",S24+AD24+Magic!F10," (1d12+",T24+AE24+Magic!F10,"), bow +",U24+AF24+Magic!G10," (1d8+",V24+AG24+Magic!G10,")")</f>
        <v>greataxe +10 (1d12+6), bow +8 (1d8+1)</v>
      </c>
      <c r="J24" s="42" t="str">
        <f>GETLEFTTOKENS(Feats!B$5,C24)</f>
        <v>power atk, armor prof (heavy), weapon focus, weapon spec, dodge, imp crit</v>
      </c>
      <c r="K24" s="22">
        <f>TRUNC(DICEAVG(F24))</f>
        <v>45</v>
      </c>
      <c r="M24" s="35">
        <f>Abilities!C$14</f>
        <v>1</v>
      </c>
      <c r="N24" s="35">
        <f>Gear!C$5+Gear!D$5+MIN(Gear!E$5,Abilities!C$14)</f>
        <v>7</v>
      </c>
      <c r="O24" s="35">
        <f>C24*Abilities!D$14</f>
        <v>12</v>
      </c>
      <c r="P24" s="35">
        <f>TRUNC(C24/2+2)+Abilities!D$14</f>
        <v>7</v>
      </c>
      <c r="Q24" s="35">
        <f>TRUNC(C24/3)+Abilities!C$14</f>
        <v>3</v>
      </c>
      <c r="R24" s="35">
        <f>TRUNC(C24/3)+Abilities!F$14</f>
        <v>3</v>
      </c>
      <c r="S24" s="35">
        <f>TRUNC(C24)+Abilities!B$14</f>
        <v>8</v>
      </c>
      <c r="T24" s="35">
        <f>TRUNC(Abilities!B$14*1.5)</f>
        <v>3</v>
      </c>
      <c r="U24" s="35">
        <f>TRUNC(C24)+Abilities!C$14</f>
        <v>7</v>
      </c>
      <c r="V24" s="35">
        <v>0</v>
      </c>
      <c r="X24" s="35"/>
      <c r="Y24" s="35"/>
      <c r="Z24" s="35"/>
      <c r="AA24" s="35"/>
      <c r="AB24" s="35"/>
      <c r="AC24" s="35"/>
      <c r="AD24" s="35">
        <v>1</v>
      </c>
      <c r="AE24" s="35">
        <v>2</v>
      </c>
      <c r="AF24" s="35"/>
      <c r="AG24" s="35"/>
    </row>
    <row r="25" spans="2:33" ht="25.5">
      <c r="B25" s="37" t="str">
        <f>CONCATENATE("FtrP",C25)</f>
        <v>FtrP7</v>
      </c>
      <c r="C25" s="38">
        <v>7</v>
      </c>
      <c r="D25" s="39">
        <f>M25+X25</f>
        <v>1</v>
      </c>
      <c r="E25" s="40">
        <f>10+N25+Y25+Magic!D11+Magic!E11</f>
        <v>22</v>
      </c>
      <c r="F25" s="40" t="str">
        <f>CONCATENATE(C25,"d10+",O25+Z25)</f>
        <v>7d10+14</v>
      </c>
      <c r="G25" s="40" t="str">
        <f>CONCATENATE("+",P25+AA25,"/",Q25+AB25,"/",R25+AC25)</f>
        <v>+7/3/3</v>
      </c>
      <c r="H25" s="38">
        <v>20</v>
      </c>
      <c r="I25" s="41" t="str">
        <f>CONCATENATE("greataxe +",S25+AD25+Magic!F11," (1d12+",T25+AE25+Magic!F11,"), bow +",U25+AF25+Magic!G11," (1d8+",V25+AG25+Magic!G11,")")</f>
        <v>greataxe +11 (1d12+6), bow +9 (1d8+1)</v>
      </c>
      <c r="J25" s="42" t="str">
        <f>GETLEFTTOKENS(Feats!B$5,C25)</f>
        <v>power atk, armor prof (heavy), weapon focus, weapon spec, dodge, imp crit, cleave</v>
      </c>
      <c r="K25" s="22">
        <f>TRUNC(DICEAVG(F25))</f>
        <v>52</v>
      </c>
      <c r="M25" s="35">
        <f>Abilities!C$14</f>
        <v>1</v>
      </c>
      <c r="N25" s="35">
        <f>Gear!C$5+Gear!D$5+MIN(Gear!E$5,Abilities!C$14)</f>
        <v>7</v>
      </c>
      <c r="O25" s="35">
        <f>C25*Abilities!D$14</f>
        <v>14</v>
      </c>
      <c r="P25" s="35">
        <f>TRUNC(C25/2+2)+Abilities!D$14</f>
        <v>7</v>
      </c>
      <c r="Q25" s="35">
        <f>TRUNC(C25/3)+Abilities!C$14</f>
        <v>3</v>
      </c>
      <c r="R25" s="35">
        <f>TRUNC(C25/3)+Abilities!F$14</f>
        <v>3</v>
      </c>
      <c r="S25" s="35">
        <f>TRUNC(C25)+Abilities!B$14</f>
        <v>9</v>
      </c>
      <c r="T25" s="35">
        <f>TRUNC(Abilities!B$14*1.5)</f>
        <v>3</v>
      </c>
      <c r="U25" s="35">
        <f>TRUNC(C25)+Abilities!C$14</f>
        <v>8</v>
      </c>
      <c r="V25" s="35">
        <v>0</v>
      </c>
      <c r="X25" s="35"/>
      <c r="Y25" s="35"/>
      <c r="Z25" s="35"/>
      <c r="AA25" s="35"/>
      <c r="AB25" s="35"/>
      <c r="AC25" s="35"/>
      <c r="AD25" s="35">
        <v>1</v>
      </c>
      <c r="AE25" s="35">
        <v>2</v>
      </c>
      <c r="AF25" s="35"/>
      <c r="AG25" s="35"/>
    </row>
    <row r="26" spans="2:33" ht="25.5">
      <c r="B26" s="37" t="str">
        <f>CONCATENATE("FtrP",C26)</f>
        <v>FtrP8</v>
      </c>
      <c r="C26" s="38">
        <v>8</v>
      </c>
      <c r="D26" s="39">
        <f>M26+X26</f>
        <v>1</v>
      </c>
      <c r="E26" s="40">
        <f>10+N26+Y26+Magic!D12+Magic!E12</f>
        <v>22</v>
      </c>
      <c r="F26" s="40" t="str">
        <f>CONCATENATE(C26,"d10+",O26+Z26)</f>
        <v>8d10+16</v>
      </c>
      <c r="G26" s="40" t="str">
        <f>CONCATENATE("+",P26+AA26,"/",Q26+AB26,"/",R26+AC26)</f>
        <v>+8/3/3</v>
      </c>
      <c r="H26" s="38">
        <v>20</v>
      </c>
      <c r="I26" s="41" t="str">
        <f>CONCATENATE("greataxe +",S26+AD26+Magic!F12," (1d12+",T26+AE26+Magic!F12,"), bow +",U26+AF26+Magic!G12," (1d8+",V26+AG26+Magic!G12,")")</f>
        <v>greataxe +13 (1d12+7), bow +10 (1d8+1)</v>
      </c>
      <c r="J26" s="42" t="str">
        <f>GETLEFTTOKENS(Feats!B$5,C26)</f>
        <v>power atk, armor prof (heavy), weapon focus, weapon spec, dodge, imp crit, cleave, great cleave</v>
      </c>
      <c r="K26" s="22">
        <f>TRUNC(DICEAVG(F26))</f>
        <v>60</v>
      </c>
      <c r="M26" s="35">
        <f>Abilities!C$14</f>
        <v>1</v>
      </c>
      <c r="N26" s="35">
        <f>Gear!C$5+Gear!D$5+MIN(Gear!E$5,Abilities!C$14)</f>
        <v>7</v>
      </c>
      <c r="O26" s="35">
        <f>C26*Abilities!D$14</f>
        <v>16</v>
      </c>
      <c r="P26" s="35">
        <f>TRUNC(C26/2+2)+Abilities!D$14</f>
        <v>8</v>
      </c>
      <c r="Q26" s="35">
        <f>TRUNC(C26/3)+Abilities!C$14</f>
        <v>3</v>
      </c>
      <c r="R26" s="35">
        <f>TRUNC(C26/3)+Abilities!F$14</f>
        <v>3</v>
      </c>
      <c r="S26" s="35">
        <f>TRUNC(C26)+Abilities!B$14</f>
        <v>10</v>
      </c>
      <c r="T26" s="35">
        <f>TRUNC(Abilities!B$14*1.5)</f>
        <v>3</v>
      </c>
      <c r="U26" s="35">
        <f>TRUNC(C26)+Abilities!C$14</f>
        <v>9</v>
      </c>
      <c r="V26" s="35">
        <v>0</v>
      </c>
      <c r="X26" s="35"/>
      <c r="Y26" s="35"/>
      <c r="Z26" s="35"/>
      <c r="AA26" s="35"/>
      <c r="AB26" s="35"/>
      <c r="AC26" s="35"/>
      <c r="AD26" s="35">
        <v>1</v>
      </c>
      <c r="AE26" s="35">
        <v>2</v>
      </c>
      <c r="AF26" s="35"/>
      <c r="AG26" s="35"/>
    </row>
    <row r="27" spans="2:33" ht="25.5">
      <c r="B27" s="37" t="str">
        <f>CONCATENATE("FtrP",C27)</f>
        <v>FtrP9</v>
      </c>
      <c r="C27" s="38">
        <v>9</v>
      </c>
      <c r="D27" s="39">
        <f>M27+X27</f>
        <v>1</v>
      </c>
      <c r="E27" s="40">
        <f>10+N27+Y27+Magic!D13+Magic!E13</f>
        <v>23</v>
      </c>
      <c r="F27" s="40" t="str">
        <f>CONCATENATE(C27,"d10+",O27+Z27)</f>
        <v>9d10+18</v>
      </c>
      <c r="G27" s="40" t="str">
        <f>CONCATENATE("+",P27+AA27,"/",Q27+AB27,"/",R27+AC27)</f>
        <v>+8/4/4</v>
      </c>
      <c r="H27" s="38">
        <v>20</v>
      </c>
      <c r="I27" s="41" t="str">
        <f>CONCATENATE("greataxe +",S27+AD27+Magic!F13," (1d12+",T27+AE27+Magic!F13,"), bow +",U27+AF27+Magic!G13," (1d8+",V27+AG27+Magic!G13,")")</f>
        <v>greataxe +14 (1d12+7), bow +12 (1d8+2)</v>
      </c>
      <c r="J27" s="42" t="str">
        <f>GETLEFTTOKENS(Feats!B$5,C27)</f>
        <v>power atk, armor prof (heavy), weapon focus, weapon spec, dodge, imp crit, cleave, great cleave, combat reflexes</v>
      </c>
      <c r="K27" s="22">
        <f>TRUNC(DICEAVG(F27))</f>
        <v>67</v>
      </c>
      <c r="M27" s="35">
        <f>Abilities!C$14</f>
        <v>1</v>
      </c>
      <c r="N27" s="35">
        <f>Gear!C$5+Gear!D$5+MIN(Gear!E$5,Abilities!C$14)</f>
        <v>7</v>
      </c>
      <c r="O27" s="35">
        <f>C27*Abilities!D$14</f>
        <v>18</v>
      </c>
      <c r="P27" s="35">
        <f>TRUNC(C27/2+2)+Abilities!D$14</f>
        <v>8</v>
      </c>
      <c r="Q27" s="35">
        <f>TRUNC(C27/3)+Abilities!C$14</f>
        <v>4</v>
      </c>
      <c r="R27" s="35">
        <f>TRUNC(C27/3)+Abilities!F$14</f>
        <v>4</v>
      </c>
      <c r="S27" s="35">
        <f>TRUNC(C27)+Abilities!B$14</f>
        <v>11</v>
      </c>
      <c r="T27" s="35">
        <f>TRUNC(Abilities!B$14*1.5)</f>
        <v>3</v>
      </c>
      <c r="U27" s="35">
        <f>TRUNC(C27)+Abilities!C$14</f>
        <v>10</v>
      </c>
      <c r="V27" s="35">
        <v>0</v>
      </c>
      <c r="X27" s="35"/>
      <c r="Y27" s="35"/>
      <c r="Z27" s="35"/>
      <c r="AA27" s="35"/>
      <c r="AB27" s="35"/>
      <c r="AC27" s="35"/>
      <c r="AD27" s="35">
        <v>1</v>
      </c>
      <c r="AE27" s="35">
        <v>2</v>
      </c>
      <c r="AF27" s="35"/>
      <c r="AG27" s="35"/>
    </row>
    <row r="28" spans="2:33" ht="33.75">
      <c r="B28" s="37" t="str">
        <f>CONCATENATE("FtrP",C28)</f>
        <v>FtrP10</v>
      </c>
      <c r="C28" s="38">
        <v>10</v>
      </c>
      <c r="D28" s="39">
        <f>M28+X28</f>
        <v>1</v>
      </c>
      <c r="E28" s="40">
        <f>10+N28+Y28+Magic!D14+Magic!E14</f>
        <v>23</v>
      </c>
      <c r="F28" s="40" t="str">
        <f>CONCATENATE(C28,"d10+",O28+Z28)</f>
        <v>10d10+20</v>
      </c>
      <c r="G28" s="40" t="str">
        <f>CONCATENATE("+",P28+AA28,"/",Q28+AB28,"/",R28+AC28)</f>
        <v>+9/4/4</v>
      </c>
      <c r="H28" s="38">
        <v>20</v>
      </c>
      <c r="I28" s="41" t="str">
        <f>CONCATENATE("greataxe +",S28+AD28+Magic!F14," (1d12+",T28+AE28+Magic!F14,"), bow +",U28+AF28+Magic!G14," (1d8+",V28+AG28+Magic!G14,")")</f>
        <v>greataxe +16 (1d12+8), bow +13 (1d8+2)</v>
      </c>
      <c r="J28" s="42" t="str">
        <f>GETLEFTTOKENS(Feats!B$5,C28)</f>
        <v>power atk, armor prof (heavy), weapon focus, weapon spec, dodge, imp crit, cleave, great cleave, combat reflexes, rapid atk</v>
      </c>
      <c r="K28" s="22">
        <f>TRUNC(DICEAVG(F28))</f>
        <v>75</v>
      </c>
      <c r="M28" s="35">
        <f>Abilities!C$14</f>
        <v>1</v>
      </c>
      <c r="N28" s="35">
        <f>Gear!C$5+Gear!D$5+MIN(Gear!E$5,Abilities!C$14)</f>
        <v>7</v>
      </c>
      <c r="O28" s="35">
        <f>C28*Abilities!D$14</f>
        <v>20</v>
      </c>
      <c r="P28" s="35">
        <f>TRUNC(C28/2+2)+Abilities!D$14</f>
        <v>9</v>
      </c>
      <c r="Q28" s="35">
        <f>TRUNC(C28/3)+Abilities!C$14</f>
        <v>4</v>
      </c>
      <c r="R28" s="35">
        <f>TRUNC(C28/3)+Abilities!F$14</f>
        <v>4</v>
      </c>
      <c r="S28" s="35">
        <f>TRUNC(C28)+Abilities!B$14</f>
        <v>12</v>
      </c>
      <c r="T28" s="35">
        <f>TRUNC(Abilities!B$14*1.5)</f>
        <v>3</v>
      </c>
      <c r="U28" s="35">
        <f>TRUNC(C28)+Abilities!C$14</f>
        <v>11</v>
      </c>
      <c r="V28" s="35">
        <v>0</v>
      </c>
      <c r="X28" s="35"/>
      <c r="Y28" s="35"/>
      <c r="Z28" s="35"/>
      <c r="AA28" s="35"/>
      <c r="AB28" s="35"/>
      <c r="AC28" s="35"/>
      <c r="AD28" s="35">
        <v>1</v>
      </c>
      <c r="AE28" s="35">
        <v>2</v>
      </c>
      <c r="AF28" s="35"/>
      <c r="AG28" s="35"/>
    </row>
    <row r="29" spans="2:33" ht="33.75">
      <c r="B29" s="37" t="str">
        <f>CONCATENATE("FtrP",C29)</f>
        <v>FtrP11</v>
      </c>
      <c r="C29" s="38">
        <v>11</v>
      </c>
      <c r="D29" s="39">
        <f>M29+X29</f>
        <v>1</v>
      </c>
      <c r="E29" s="40">
        <f>10+N29+Y29+Magic!D15+Magic!E15</f>
        <v>24</v>
      </c>
      <c r="F29" s="40" t="str">
        <f>CONCATENATE(C29,"d10+",O29+Z29)</f>
        <v>11d10+22</v>
      </c>
      <c r="G29" s="40" t="str">
        <f>CONCATENATE("+",P29+AA29,"/",Q29+AB29,"/",R29+AC29)</f>
        <v>+9/4/4</v>
      </c>
      <c r="H29" s="38">
        <v>20</v>
      </c>
      <c r="I29" s="41" t="str">
        <f>CONCATENATE("greataxe +",S29+AD29+Magic!F15," (1d12+",T29+AE29+Magic!F15,"), bow +",U29+AF29+Magic!G15," (1d8+",V29+AG29+Magic!G15,")")</f>
        <v>greataxe +17 (1d12+8), bow +15 (1d8+3)</v>
      </c>
      <c r="J29" s="42" t="str">
        <f>GETLEFTTOKENS(Feats!B$5,C29)</f>
        <v>power atk, armor prof (heavy), weapon focus, weapon spec, dodge, imp crit, cleave, great cleave, combat reflexes, rapid atk, point blank shot</v>
      </c>
      <c r="K29" s="22">
        <f>TRUNC(DICEAVG(F29))</f>
        <v>82</v>
      </c>
      <c r="M29" s="35">
        <f>Abilities!C$14</f>
        <v>1</v>
      </c>
      <c r="N29" s="35">
        <f>Gear!C$5+Gear!D$5+MIN(Gear!E$5,Abilities!C$14)</f>
        <v>7</v>
      </c>
      <c r="O29" s="35">
        <f>C29*Abilities!D$14</f>
        <v>22</v>
      </c>
      <c r="P29" s="35">
        <f>TRUNC(C29/2+2)+Abilities!D$14</f>
        <v>9</v>
      </c>
      <c r="Q29" s="35">
        <f>TRUNC(C29/3)+Abilities!C$14</f>
        <v>4</v>
      </c>
      <c r="R29" s="35">
        <f>TRUNC(C29/3)+Abilities!F$14</f>
        <v>4</v>
      </c>
      <c r="S29" s="35">
        <f>TRUNC(C29)+Abilities!B$14</f>
        <v>13</v>
      </c>
      <c r="T29" s="35">
        <f>TRUNC(Abilities!B$14*1.5)</f>
        <v>3</v>
      </c>
      <c r="U29" s="35">
        <f>TRUNC(C29)+Abilities!C$14</f>
        <v>12</v>
      </c>
      <c r="V29" s="35">
        <v>0</v>
      </c>
      <c r="X29" s="35"/>
      <c r="Y29" s="35"/>
      <c r="Z29" s="35"/>
      <c r="AA29" s="35"/>
      <c r="AB29" s="35"/>
      <c r="AC29" s="35"/>
      <c r="AD29" s="35">
        <v>1</v>
      </c>
      <c r="AE29" s="35">
        <v>2</v>
      </c>
      <c r="AF29" s="35"/>
      <c r="AG29" s="35"/>
    </row>
    <row r="30" spans="2:33" ht="33.75">
      <c r="B30" s="37" t="str">
        <f>CONCATENATE("FtrP",C30)</f>
        <v>FtrP12</v>
      </c>
      <c r="C30" s="38">
        <v>12</v>
      </c>
      <c r="D30" s="39">
        <f>M30+X30</f>
        <v>1</v>
      </c>
      <c r="E30" s="40">
        <f>10+N30+Y30+Magic!D16+Magic!E16</f>
        <v>25</v>
      </c>
      <c r="F30" s="40" t="str">
        <f>CONCATENATE(C30,"d10+",O30+Z30)</f>
        <v>12d10+24</v>
      </c>
      <c r="G30" s="40" t="str">
        <f>CONCATENATE("+",P30+AA30,"/",Q30+AB30,"/",R30+AC30)</f>
        <v>+10/5/5</v>
      </c>
      <c r="H30" s="38">
        <v>20</v>
      </c>
      <c r="I30" s="41" t="str">
        <f>CONCATENATE("greataxe +",S30+AD30+Magic!F16," (1d12+",T30+AE30+Magic!F16,"), bow +",U30+AF30+Magic!G16," (1d8+",V30+AG30+Magic!G16,")")</f>
        <v>greataxe +19 (1d12+9), bow +16 (1d8+3)</v>
      </c>
      <c r="J30" s="42" t="str">
        <f>GETLEFTTOKENS(Feats!B$5,C30)</f>
        <v>power atk, armor prof (heavy), weapon focus, weapon spec, dodge, imp crit, cleave, great cleave, combat reflexes, rapid atk, point blank shot, rapid shot</v>
      </c>
      <c r="K30" s="22">
        <f>TRUNC(DICEAVG(F30))</f>
        <v>90</v>
      </c>
      <c r="M30" s="35">
        <f>Abilities!C$14</f>
        <v>1</v>
      </c>
      <c r="N30" s="35">
        <f>Gear!C$5+Gear!D$5+MIN(Gear!E$5,Abilities!C$14)</f>
        <v>7</v>
      </c>
      <c r="O30" s="35">
        <f>C30*Abilities!D$14</f>
        <v>24</v>
      </c>
      <c r="P30" s="35">
        <f>TRUNC(C30/2+2)+Abilities!D$14</f>
        <v>10</v>
      </c>
      <c r="Q30" s="35">
        <f>TRUNC(C30/3)+Abilities!C$14</f>
        <v>5</v>
      </c>
      <c r="R30" s="35">
        <f>TRUNC(C30/3)+Abilities!F$14</f>
        <v>5</v>
      </c>
      <c r="S30" s="35">
        <f>TRUNC(C30)+Abilities!B$14</f>
        <v>14</v>
      </c>
      <c r="T30" s="35">
        <f>TRUNC(Abilities!B$14*1.5)</f>
        <v>3</v>
      </c>
      <c r="U30" s="35">
        <f>TRUNC(C30)+Abilities!C$14</f>
        <v>13</v>
      </c>
      <c r="V30" s="35">
        <v>0</v>
      </c>
      <c r="X30" s="35"/>
      <c r="Y30" s="35"/>
      <c r="Z30" s="35"/>
      <c r="AA30" s="35"/>
      <c r="AB30" s="35"/>
      <c r="AC30" s="35"/>
      <c r="AD30" s="35">
        <v>1</v>
      </c>
      <c r="AE30" s="35">
        <v>2</v>
      </c>
      <c r="AF30" s="35"/>
      <c r="AG30" s="35"/>
    </row>
    <row r="31" spans="2:33" ht="9">
      <c r="B31" s="29"/>
      <c r="C31" s="30"/>
      <c r="D31" s="31"/>
      <c r="E31" s="30"/>
      <c r="F31" s="30"/>
      <c r="G31" s="36"/>
      <c r="H31" s="30"/>
      <c r="I31" s="32"/>
      <c r="J31" s="33"/>
      <c r="K31" s="35"/>
      <c r="M31" s="35"/>
      <c r="N31" s="35"/>
      <c r="O31" s="35"/>
      <c r="P31" s="35"/>
      <c r="Q31" s="35"/>
      <c r="R31" s="35"/>
      <c r="S31" s="35"/>
      <c r="T31" s="35"/>
      <c r="U31" s="35"/>
      <c r="V31" s="35"/>
      <c r="X31" s="35"/>
      <c r="Y31" s="35"/>
      <c r="Z31" s="35"/>
      <c r="AA31" s="35"/>
      <c r="AB31" s="35"/>
      <c r="AC31" s="35"/>
      <c r="AD31" s="35"/>
      <c r="AE31" s="35"/>
      <c r="AF31" s="35"/>
      <c r="AG31" s="35"/>
    </row>
    <row r="32" spans="2:33" ht="9">
      <c r="B32" s="29"/>
      <c r="C32" s="30"/>
      <c r="D32" s="31"/>
      <c r="E32" s="30"/>
      <c r="F32" s="30"/>
      <c r="G32" s="36"/>
      <c r="H32" s="30"/>
      <c r="I32" s="32"/>
      <c r="J32" s="33"/>
      <c r="K32" s="35"/>
      <c r="M32" s="35"/>
      <c r="N32" s="35"/>
      <c r="O32" s="35"/>
      <c r="P32" s="35"/>
      <c r="Q32" s="35"/>
      <c r="R32" s="35"/>
      <c r="S32" s="35"/>
      <c r="T32" s="35"/>
      <c r="U32" s="35"/>
      <c r="V32" s="35"/>
      <c r="X32" s="35"/>
      <c r="Y32" s="35"/>
      <c r="Z32" s="35"/>
      <c r="AA32" s="35"/>
      <c r="AB32" s="35"/>
      <c r="AC32" s="35"/>
      <c r="AD32" s="35"/>
      <c r="AE32" s="35"/>
      <c r="AF32" s="35"/>
      <c r="AG32" s="35"/>
    </row>
    <row r="33" spans="2:33" ht="9.75">
      <c r="B33" s="37" t="str">
        <f>CONCATENATE("Rog",C33)</f>
        <v>Rog1</v>
      </c>
      <c r="C33" s="38">
        <v>1</v>
      </c>
      <c r="D33" s="39">
        <f>M33+X33</f>
        <v>2</v>
      </c>
      <c r="E33" s="40">
        <f>10+N33+Y33+Magic!D5+Magic!E5</f>
        <v>15</v>
      </c>
      <c r="F33" s="40" t="str">
        <f>CONCATENATE(C33,"d6+",O33+Z33)</f>
        <v>1d6+1</v>
      </c>
      <c r="G33" s="40" t="str">
        <f>CONCATENATE("+",P33+AA33,"/",Q33+AB33,"/",R33+AC33)</f>
        <v>+1/4/0</v>
      </c>
      <c r="H33" s="38">
        <v>30</v>
      </c>
      <c r="I33" s="41" t="str">
        <f>CONCATENATE("mace +",S33+AD33+Magic!G5," (1d6+",T33+AE33+Magic!G5,"), bow +",U33+AF33+Magic!F5," (1d8+",V33+AG33+Magic!F5,")")</f>
        <v>mace +1 (1d6+1), bow +2 (1d8+0)</v>
      </c>
      <c r="J33" s="42" t="str">
        <f>GETLEFTTOKENS(Feats!B$6,ROUNDUP(C33*3/4,0))</f>
        <v>point blank shot</v>
      </c>
      <c r="K33" s="22">
        <f>TRUNC(DICEAVG(F33))</f>
        <v>4</v>
      </c>
      <c r="M33" s="35">
        <f>Abilities!C$15</f>
        <v>2</v>
      </c>
      <c r="N33" s="35">
        <f>Gear!C$6+Gear!D$6+MIN(Gear!E$6,Abilities!C$15)</f>
        <v>5</v>
      </c>
      <c r="O33" s="35">
        <f>C33*Abilities!D$15</f>
        <v>1</v>
      </c>
      <c r="P33" s="35">
        <f>TRUNC(C33/3)+Abilities!D$15</f>
        <v>1</v>
      </c>
      <c r="Q33" s="35">
        <f>TRUNC(C33/2+2)+Abilities!C$15</f>
        <v>4</v>
      </c>
      <c r="R33" s="35">
        <f>TRUNC(C33/3)+Abilities!F$15</f>
        <v>0</v>
      </c>
      <c r="S33" s="35">
        <f>TRUNC(C33*3/4)+Abilities!B$15</f>
        <v>1</v>
      </c>
      <c r="T33" s="35">
        <f>Abilities!B$15</f>
        <v>1</v>
      </c>
      <c r="U33" s="35">
        <f>TRUNC(C33*3/4)+Abilities!C$15</f>
        <v>2</v>
      </c>
      <c r="V33" s="35">
        <v>0</v>
      </c>
      <c r="X33" s="35"/>
      <c r="Y33" s="35"/>
      <c r="Z33" s="35"/>
      <c r="AA33" s="35"/>
      <c r="AB33" s="35"/>
      <c r="AC33" s="35"/>
      <c r="AD33" s="35"/>
      <c r="AE33" s="35"/>
      <c r="AF33" s="35"/>
      <c r="AG33" s="35"/>
    </row>
    <row r="34" spans="2:33" ht="9.75">
      <c r="B34" s="37" t="str">
        <f>CONCATENATE("Rog",C34)</f>
        <v>Rog2</v>
      </c>
      <c r="C34" s="38">
        <v>2</v>
      </c>
      <c r="D34" s="39">
        <f>M34+X34</f>
        <v>2</v>
      </c>
      <c r="E34" s="40">
        <f>10+N34+Y34+Magic!D6+Magic!E6</f>
        <v>15</v>
      </c>
      <c r="F34" s="40" t="str">
        <f>CONCATENATE(C34,"d6+",O34+Z34)</f>
        <v>2d6+2</v>
      </c>
      <c r="G34" s="40" t="str">
        <f>CONCATENATE("+",P34+AA34,"/",Q34+AB34,"/",R34+AC34)</f>
        <v>+1/5/0</v>
      </c>
      <c r="H34" s="38">
        <v>30</v>
      </c>
      <c r="I34" s="41" t="str">
        <f>CONCATENATE("mace +",S34+AD34+Magic!G6," (1d6+",T34+AE34+Magic!G6,"), bow +",U34+AF34+Magic!F6," (1d8+",V34+AG34+Magic!F6,")")</f>
        <v>mace +2 (1d6+1), bow +3 (1d8+0)</v>
      </c>
      <c r="J34" s="42" t="str">
        <f>GETLEFTTOKENS(Feats!B$6,ROUNDUP(C34*3/4,0))</f>
        <v>point blank shot, sk (srch)</v>
      </c>
      <c r="K34" s="22">
        <f>TRUNC(DICEAVG(F34))</f>
        <v>9</v>
      </c>
      <c r="M34" s="35">
        <f>Abilities!C$15</f>
        <v>2</v>
      </c>
      <c r="N34" s="35">
        <f>Gear!C$6+Gear!D$6+MIN(Gear!E$6,Abilities!C$15)</f>
        <v>5</v>
      </c>
      <c r="O34" s="35">
        <f>C34*Abilities!D$15</f>
        <v>2</v>
      </c>
      <c r="P34" s="35">
        <f>TRUNC(C34/3)+Abilities!D$15</f>
        <v>1</v>
      </c>
      <c r="Q34" s="35">
        <f>TRUNC(C34/2+2)+Abilities!C$15</f>
        <v>5</v>
      </c>
      <c r="R34" s="35">
        <f>TRUNC(C34/3)+Abilities!F$15</f>
        <v>0</v>
      </c>
      <c r="S34" s="35">
        <f>TRUNC(C34*3/4)+Abilities!B$15</f>
        <v>2</v>
      </c>
      <c r="T34" s="35">
        <f>Abilities!B$15</f>
        <v>1</v>
      </c>
      <c r="U34" s="35">
        <f>TRUNC(C34*3/4)+Abilities!C$15</f>
        <v>3</v>
      </c>
      <c r="V34" s="35">
        <v>0</v>
      </c>
      <c r="X34" s="35"/>
      <c r="Y34" s="35"/>
      <c r="Z34" s="35"/>
      <c r="AA34" s="35"/>
      <c r="AB34" s="35"/>
      <c r="AC34" s="35"/>
      <c r="AD34" s="35"/>
      <c r="AE34" s="35"/>
      <c r="AF34" s="35"/>
      <c r="AG34" s="35"/>
    </row>
    <row r="35" spans="2:33" ht="17.25">
      <c r="B35" s="37" t="str">
        <f>CONCATENATE("Rog",C35)</f>
        <v>Rog3</v>
      </c>
      <c r="C35" s="38">
        <v>3</v>
      </c>
      <c r="D35" s="39">
        <f>M35+X35</f>
        <v>2</v>
      </c>
      <c r="E35" s="40">
        <f>10+N35+Y35+Magic!D7+Magic!E7</f>
        <v>17</v>
      </c>
      <c r="F35" s="40" t="str">
        <f>CONCATENATE(C35,"d6+",O35+Z35)</f>
        <v>3d6+3</v>
      </c>
      <c r="G35" s="40" t="str">
        <f>CONCATENATE("+",P35+AA35,"/",Q35+AB35,"/",R35+AC35)</f>
        <v>+2/5/1</v>
      </c>
      <c r="H35" s="38">
        <v>30</v>
      </c>
      <c r="I35" s="41" t="str">
        <f>CONCATENATE("mace +",S35+AD35+Magic!G7," (1d6+",T35+AE35+Magic!G7,"), bow +",U35+AF35+Magic!F7," (1d8+",V35+AG35+Magic!F7,")")</f>
        <v>mace +3 (1d6+1), bow +4 (1d8+0)</v>
      </c>
      <c r="J35" s="42" t="str">
        <f>GETLEFTTOKENS(Feats!B$6,ROUNDUP(C35*3/4,0))</f>
        <v>point blank shot, sk (srch), sneak atk (2d6)</v>
      </c>
      <c r="K35" s="22">
        <f>TRUNC(DICEAVG(F35))</f>
        <v>13</v>
      </c>
      <c r="M35" s="35">
        <f>Abilities!C$15</f>
        <v>2</v>
      </c>
      <c r="N35" s="35">
        <f>Gear!C$6+Gear!D$6+MIN(Gear!E$6,Abilities!C$15)</f>
        <v>5</v>
      </c>
      <c r="O35" s="35">
        <f>C35*Abilities!D$15</f>
        <v>3</v>
      </c>
      <c r="P35" s="35">
        <f>TRUNC(C35/3)+Abilities!D$15</f>
        <v>2</v>
      </c>
      <c r="Q35" s="35">
        <f>TRUNC(C35/2+2)+Abilities!C$15</f>
        <v>5</v>
      </c>
      <c r="R35" s="35">
        <f>TRUNC(C35/3)+Abilities!F$15</f>
        <v>1</v>
      </c>
      <c r="S35" s="35">
        <f>TRUNC(C35*3/4)+Abilities!B$15</f>
        <v>3</v>
      </c>
      <c r="T35" s="35">
        <f>Abilities!B$15</f>
        <v>1</v>
      </c>
      <c r="U35" s="35">
        <f>TRUNC(C35*3/4)+Abilities!C$15</f>
        <v>4</v>
      </c>
      <c r="V35" s="35">
        <v>0</v>
      </c>
      <c r="X35" s="35"/>
      <c r="Y35" s="35"/>
      <c r="Z35" s="35"/>
      <c r="AA35" s="35"/>
      <c r="AB35" s="35"/>
      <c r="AC35" s="35"/>
      <c r="AD35" s="35"/>
      <c r="AE35" s="35"/>
      <c r="AF35" s="35"/>
      <c r="AG35" s="35"/>
    </row>
    <row r="36" spans="2:33" ht="17.25">
      <c r="B36" s="37" t="str">
        <f>CONCATENATE("Rog",C36)</f>
        <v>Rog4</v>
      </c>
      <c r="C36" s="38">
        <v>4</v>
      </c>
      <c r="D36" s="39">
        <f>M36+X36</f>
        <v>2</v>
      </c>
      <c r="E36" s="40">
        <f>10+N36+Y36+Magic!D8+Magic!E8</f>
        <v>17</v>
      </c>
      <c r="F36" s="40" t="str">
        <f>CONCATENATE(C36,"d6+",O36+Z36)</f>
        <v>4d6+4</v>
      </c>
      <c r="G36" s="40" t="str">
        <f>CONCATENATE("+",P36+AA36,"/",Q36+AB36,"/",R36+AC36)</f>
        <v>+2/6/1</v>
      </c>
      <c r="H36" s="38">
        <v>30</v>
      </c>
      <c r="I36" s="41" t="str">
        <f>CONCATENATE("mace +",S36+AD36+Magic!G8," (1d6+",T36+AE36+Magic!G8,"), bow +",U36+AF36+Magic!F8," (1d8+",V36+AG36+Magic!F8,")")</f>
        <v>mace +4 (1d6+1), bow +6 (1d8+1)</v>
      </c>
      <c r="J36" s="42" t="str">
        <f>GETLEFTTOKENS(Feats!B$6,ROUNDUP(C36*3/4,0))</f>
        <v>point blank shot, sk (srch), sneak atk (2d6)</v>
      </c>
      <c r="K36" s="22">
        <f>TRUNC(DICEAVG(F36))</f>
        <v>18</v>
      </c>
      <c r="M36" s="35">
        <f>Abilities!C$15</f>
        <v>2</v>
      </c>
      <c r="N36" s="35">
        <f>Gear!C$6+Gear!D$6+MIN(Gear!E$6,Abilities!C$15)</f>
        <v>5</v>
      </c>
      <c r="O36" s="35">
        <f>C36*Abilities!D$15</f>
        <v>4</v>
      </c>
      <c r="P36" s="35">
        <f>TRUNC(C36/3)+Abilities!D$15</f>
        <v>2</v>
      </c>
      <c r="Q36" s="35">
        <f>TRUNC(C36/2+2)+Abilities!C$15</f>
        <v>6</v>
      </c>
      <c r="R36" s="35">
        <f>TRUNC(C36/3)+Abilities!F$15</f>
        <v>1</v>
      </c>
      <c r="S36" s="35">
        <f>TRUNC(C36*3/4)+Abilities!B$15</f>
        <v>4</v>
      </c>
      <c r="T36" s="35">
        <f>Abilities!B$15</f>
        <v>1</v>
      </c>
      <c r="U36" s="35">
        <f>TRUNC(C36*3/4)+Abilities!C$15</f>
        <v>5</v>
      </c>
      <c r="V36" s="35">
        <v>0</v>
      </c>
      <c r="X36" s="35"/>
      <c r="Y36" s="35"/>
      <c r="Z36" s="35"/>
      <c r="AA36" s="35"/>
      <c r="AB36" s="35"/>
      <c r="AC36" s="35"/>
      <c r="AD36" s="35"/>
      <c r="AE36" s="35"/>
      <c r="AF36" s="35"/>
      <c r="AG36" s="35"/>
    </row>
    <row r="37" spans="2:33" ht="17.25">
      <c r="B37" s="37" t="str">
        <f>CONCATENATE("Rog",C37)</f>
        <v>Rog5</v>
      </c>
      <c r="C37" s="38">
        <v>5</v>
      </c>
      <c r="D37" s="39">
        <f>M37+X37</f>
        <v>6</v>
      </c>
      <c r="E37" s="40">
        <f>10+N37+Y37+Magic!D9+Magic!E9</f>
        <v>18</v>
      </c>
      <c r="F37" s="40" t="str">
        <f>CONCATENATE(C37,"d6+",O37+Z37)</f>
        <v>5d6+5</v>
      </c>
      <c r="G37" s="40" t="str">
        <f>CONCATENATE("+",P37+AA37,"/",Q37+AB37,"/",R37+AC37)</f>
        <v>+2/6/1</v>
      </c>
      <c r="H37" s="38">
        <v>30</v>
      </c>
      <c r="I37" s="41" t="str">
        <f>CONCATENATE("mace +",S37+AD37+Magic!G9," (1d6+",T37+AE37+Magic!G9,"), bow +",U37+AF37+Magic!F9," (1d8+",V37+AG37+Magic!F9,")")</f>
        <v>mace +4 (1d6+1), bow +6 (1d8+1)</v>
      </c>
      <c r="J37" s="42" t="str">
        <f>GETLEFTTOKENS(Feats!B$6,ROUNDUP(C37*3/4,0))</f>
        <v>point blank shot, sk (srch), sneak atk (2d6), imp init</v>
      </c>
      <c r="K37" s="22">
        <f>TRUNC(DICEAVG(F37))</f>
        <v>22</v>
      </c>
      <c r="M37" s="35">
        <f>Abilities!C$15</f>
        <v>2</v>
      </c>
      <c r="N37" s="35">
        <f>Gear!C$6+Gear!D$6+MIN(Gear!E$6,Abilities!C$15)</f>
        <v>5</v>
      </c>
      <c r="O37" s="35">
        <f>C37*Abilities!D$15</f>
        <v>5</v>
      </c>
      <c r="P37" s="35">
        <f>TRUNC(C37/3)+Abilities!D$15</f>
        <v>2</v>
      </c>
      <c r="Q37" s="35">
        <f>TRUNC(C37/2+2)+Abilities!C$15</f>
        <v>6</v>
      </c>
      <c r="R37" s="35">
        <f>TRUNC(C37/3)+Abilities!F$15</f>
        <v>1</v>
      </c>
      <c r="S37" s="35">
        <f>TRUNC(C37*3/4)+Abilities!B$15</f>
        <v>4</v>
      </c>
      <c r="T37" s="35">
        <f>Abilities!B$15</f>
        <v>1</v>
      </c>
      <c r="U37" s="35">
        <f>TRUNC(C37*3/4)+Abilities!C$15</f>
        <v>5</v>
      </c>
      <c r="V37" s="35">
        <v>0</v>
      </c>
      <c r="X37" s="35">
        <v>4</v>
      </c>
      <c r="Y37" s="35"/>
      <c r="Z37" s="35"/>
      <c r="AA37" s="35"/>
      <c r="AB37" s="35"/>
      <c r="AC37" s="35"/>
      <c r="AD37" s="35"/>
      <c r="AE37" s="35"/>
      <c r="AF37" s="35"/>
      <c r="AG37" s="35"/>
    </row>
    <row r="38" spans="2:33" ht="17.25">
      <c r="B38" s="37" t="str">
        <f>CONCATENATE("Rog",C38)</f>
        <v>Rog6</v>
      </c>
      <c r="C38" s="38">
        <v>6</v>
      </c>
      <c r="D38" s="39">
        <f>M38+X38</f>
        <v>6</v>
      </c>
      <c r="E38" s="40">
        <f>10+N38+Y38+Magic!D10+Magic!E10</f>
        <v>18</v>
      </c>
      <c r="F38" s="40" t="str">
        <f>CONCATENATE(C38,"d6+",O38+Z38)</f>
        <v>6d6+6</v>
      </c>
      <c r="G38" s="40" t="str">
        <f>CONCATENATE("+",P38+AA38,"/",Q38+AB38,"/",R38+AC38)</f>
        <v>+3/7/2</v>
      </c>
      <c r="H38" s="38">
        <v>30</v>
      </c>
      <c r="I38" s="41" t="str">
        <f>CONCATENATE("mace +",S38+AD38+Magic!G10," (1d6+",T38+AE38+Magic!G10,"), bow +",U38+AF38+Magic!F10," (1d8+",V38+AG38+Magic!F10,")")</f>
        <v>mace +6 (1d6+2), bow +7 (1d8+1)</v>
      </c>
      <c r="J38" s="42" t="str">
        <f>GETLEFTTOKENS(Feats!B$6,ROUNDUP(C38*3/4,0))</f>
        <v>point blank shot, sk (srch), sneak atk (2d6), imp init, alertness</v>
      </c>
      <c r="K38" s="22">
        <f>TRUNC(DICEAVG(F38))</f>
        <v>27</v>
      </c>
      <c r="M38" s="35">
        <f>Abilities!C$15</f>
        <v>2</v>
      </c>
      <c r="N38" s="35">
        <f>Gear!C$6+Gear!D$6+MIN(Gear!E$6,Abilities!C$15)</f>
        <v>5</v>
      </c>
      <c r="O38" s="35">
        <f>C38*Abilities!D$15</f>
        <v>6</v>
      </c>
      <c r="P38" s="35">
        <f>TRUNC(C38/3)+Abilities!D$15</f>
        <v>3</v>
      </c>
      <c r="Q38" s="35">
        <f>TRUNC(C38/2+2)+Abilities!C$15</f>
        <v>7</v>
      </c>
      <c r="R38" s="35">
        <f>TRUNC(C38/3)+Abilities!F$15</f>
        <v>2</v>
      </c>
      <c r="S38" s="35">
        <f>TRUNC(C38*3/4)+Abilities!B$15</f>
        <v>5</v>
      </c>
      <c r="T38" s="35">
        <f>Abilities!B$15</f>
        <v>1</v>
      </c>
      <c r="U38" s="35">
        <f>TRUNC(C38*3/4)+Abilities!C$15</f>
        <v>6</v>
      </c>
      <c r="V38" s="35">
        <v>0</v>
      </c>
      <c r="X38" s="35">
        <v>4</v>
      </c>
      <c r="Y38" s="35"/>
      <c r="Z38" s="35"/>
      <c r="AA38" s="35"/>
      <c r="AB38" s="35"/>
      <c r="AC38" s="35"/>
      <c r="AD38" s="35"/>
      <c r="AE38" s="35"/>
      <c r="AF38" s="35"/>
      <c r="AG38" s="35"/>
    </row>
    <row r="39" spans="2:33" ht="17.25">
      <c r="B39" s="37" t="str">
        <f>CONCATENATE("Rog",C39)</f>
        <v>Rog7</v>
      </c>
      <c r="C39" s="38">
        <v>7</v>
      </c>
      <c r="D39" s="39">
        <f>M39+X39</f>
        <v>6</v>
      </c>
      <c r="E39" s="40">
        <f>10+N39+Y39+Magic!D11+Magic!E11</f>
        <v>20</v>
      </c>
      <c r="F39" s="40" t="str">
        <f>CONCATENATE(C39,"d6+",O39+Z39)</f>
        <v>7d6+7</v>
      </c>
      <c r="G39" s="40" t="str">
        <f>CONCATENATE("+",P39+AA39,"/",Q39+AB39,"/",R39+AC39)</f>
        <v>+3/7/2</v>
      </c>
      <c r="H39" s="38">
        <v>30</v>
      </c>
      <c r="I39" s="41" t="str">
        <f>CONCATENATE("mace +",S39+AD39+Magic!G11," (1d6+",T39+AE39+Magic!G11,"), bow +",U39+AF39+Magic!F11," (1d8+",V39+AG39+Magic!F11,")")</f>
        <v>mace +7 (1d6+2), bow +8 (1d8+1)</v>
      </c>
      <c r="J39" s="42" t="str">
        <f>GETLEFTTOKENS(Feats!B$6,ROUNDUP(C39*3/4,0))</f>
        <v>point blank shot, sk (srch), sneak atk (2d6), imp init, alertness, rapid shot</v>
      </c>
      <c r="K39" s="22">
        <f>TRUNC(DICEAVG(F39))</f>
        <v>31</v>
      </c>
      <c r="M39" s="35">
        <f>Abilities!C$15</f>
        <v>2</v>
      </c>
      <c r="N39" s="35">
        <f>Gear!C$6+Gear!D$6+MIN(Gear!E$6,Abilities!C$15)</f>
        <v>5</v>
      </c>
      <c r="O39" s="35">
        <f>C39*Abilities!D$15</f>
        <v>7</v>
      </c>
      <c r="P39" s="35">
        <f>TRUNC(C39/3)+Abilities!D$15</f>
        <v>3</v>
      </c>
      <c r="Q39" s="35">
        <f>TRUNC(C39/2+2)+Abilities!C$15</f>
        <v>7</v>
      </c>
      <c r="R39" s="35">
        <f>TRUNC(C39/3)+Abilities!F$15</f>
        <v>2</v>
      </c>
      <c r="S39" s="35">
        <f>TRUNC(C39*3/4)+Abilities!B$15</f>
        <v>6</v>
      </c>
      <c r="T39" s="35">
        <f>Abilities!B$15</f>
        <v>1</v>
      </c>
      <c r="U39" s="35">
        <f>TRUNC(C39*3/4)+Abilities!C$15</f>
        <v>7</v>
      </c>
      <c r="V39" s="35">
        <v>0</v>
      </c>
      <c r="X39" s="35">
        <v>4</v>
      </c>
      <c r="Y39" s="35"/>
      <c r="Z39" s="35"/>
      <c r="AA39" s="35"/>
      <c r="AB39" s="35"/>
      <c r="AC39" s="35"/>
      <c r="AD39" s="35"/>
      <c r="AE39" s="35"/>
      <c r="AF39" s="35"/>
      <c r="AG39" s="35"/>
    </row>
    <row r="40" spans="2:33" ht="17.25">
      <c r="B40" s="37" t="str">
        <f>CONCATENATE("Rog",C40)</f>
        <v>Rog8</v>
      </c>
      <c r="C40" s="38">
        <v>8</v>
      </c>
      <c r="D40" s="39">
        <f>M40+X40</f>
        <v>6</v>
      </c>
      <c r="E40" s="40">
        <f>10+N40+Y40+Magic!D12+Magic!E12</f>
        <v>20</v>
      </c>
      <c r="F40" s="40" t="str">
        <f>CONCATENATE(C40,"d6+",O40+Z40)</f>
        <v>8d6+8</v>
      </c>
      <c r="G40" s="40" t="str">
        <f>CONCATENATE("+",P40+AA40,"/",Q40+AB40,"/",R40+AC40)</f>
        <v>+3/8/2</v>
      </c>
      <c r="H40" s="38">
        <v>30</v>
      </c>
      <c r="I40" s="41" t="str">
        <f>CONCATENATE("mace +",S40+AD40+Magic!G12," (1d6+",T40+AE40+Magic!G12,"), bow +",U40+AF40+Magic!F12," (1d8+",V40+AG40+Magic!F12,")")</f>
        <v>mace +8 (1d6+2), bow +10 (1d8+2)</v>
      </c>
      <c r="J40" s="42" t="str">
        <f>GETLEFTTOKENS(Feats!B$6,ROUNDUP(C40*3/4,0))</f>
        <v>point blank shot, sk (srch), sneak atk (2d6), imp init, alertness, rapid shot</v>
      </c>
      <c r="K40" s="22">
        <f>TRUNC(DICEAVG(F40))</f>
        <v>36</v>
      </c>
      <c r="M40" s="35">
        <f>Abilities!C$15</f>
        <v>2</v>
      </c>
      <c r="N40" s="35">
        <f>Gear!C$6+Gear!D$6+MIN(Gear!E$6,Abilities!C$15)</f>
        <v>5</v>
      </c>
      <c r="O40" s="35">
        <f>C40*Abilities!D$15</f>
        <v>8</v>
      </c>
      <c r="P40" s="35">
        <f>TRUNC(C40/3)+Abilities!D$15</f>
        <v>3</v>
      </c>
      <c r="Q40" s="35">
        <f>TRUNC(C40/2+2)+Abilities!C$15</f>
        <v>8</v>
      </c>
      <c r="R40" s="35">
        <f>TRUNC(C40/3)+Abilities!F$15</f>
        <v>2</v>
      </c>
      <c r="S40" s="35">
        <f>TRUNC(C40*3/4)+Abilities!B$15</f>
        <v>7</v>
      </c>
      <c r="T40" s="35">
        <f>Abilities!B$15</f>
        <v>1</v>
      </c>
      <c r="U40" s="35">
        <f>TRUNC(C40*3/4)+Abilities!C$15</f>
        <v>8</v>
      </c>
      <c r="V40" s="35">
        <v>0</v>
      </c>
      <c r="X40" s="35">
        <v>4</v>
      </c>
      <c r="Y40" s="35"/>
      <c r="Z40" s="35"/>
      <c r="AA40" s="35"/>
      <c r="AB40" s="35"/>
      <c r="AC40" s="35"/>
      <c r="AD40" s="35"/>
      <c r="AE40" s="35"/>
      <c r="AF40" s="35"/>
      <c r="AG40" s="35"/>
    </row>
    <row r="41" spans="2:33" ht="25.5">
      <c r="B41" s="37" t="str">
        <f>CONCATENATE("Rog",C41)</f>
        <v>Rog9</v>
      </c>
      <c r="C41" s="38">
        <v>9</v>
      </c>
      <c r="D41" s="39">
        <f>M41+X41</f>
        <v>6</v>
      </c>
      <c r="E41" s="40">
        <f>10+N41+Y41+Magic!D13+Magic!E13</f>
        <v>21</v>
      </c>
      <c r="F41" s="40" t="str">
        <f>CONCATENATE(C41,"d6+",O41+Z41)</f>
        <v>9d6+9</v>
      </c>
      <c r="G41" s="40" t="str">
        <f>CONCATENATE("+",P41+AA41,"/",Q41+AB41,"/",R41+AC41)</f>
        <v>+4/8/3</v>
      </c>
      <c r="H41" s="38">
        <v>30</v>
      </c>
      <c r="I41" s="41" t="str">
        <f>CONCATENATE("mace +",S41+AD41+Magic!G13," (1d6+",T41+AE41+Magic!G13,"), bow +",U41+AF41+Magic!F13," (1d8+",V41+AG41+Magic!F13,")")</f>
        <v>mace +9 (1d6+3), bow +10 (1d8+2)</v>
      </c>
      <c r="J41" s="42" t="str">
        <f>GETLEFTTOKENS(Feats!B$6,ROUNDUP(C41*3/4,0))</f>
        <v>point blank shot, sk (srch), sneak atk (2d6), imp init, alertness, rapid shot, evasion</v>
      </c>
      <c r="K41" s="22">
        <f>TRUNC(DICEAVG(F41))</f>
        <v>40</v>
      </c>
      <c r="M41" s="35">
        <f>Abilities!C$15</f>
        <v>2</v>
      </c>
      <c r="N41" s="35">
        <f>Gear!C$6+Gear!D$6+MIN(Gear!E$6,Abilities!C$15)</f>
        <v>5</v>
      </c>
      <c r="O41" s="35">
        <f>C41*Abilities!D$15</f>
        <v>9</v>
      </c>
      <c r="P41" s="35">
        <f>TRUNC(C41/3)+Abilities!D$15</f>
        <v>4</v>
      </c>
      <c r="Q41" s="35">
        <f>TRUNC(C41/2+2)+Abilities!C$15</f>
        <v>8</v>
      </c>
      <c r="R41" s="35">
        <f>TRUNC(C41/3)+Abilities!F$15</f>
        <v>3</v>
      </c>
      <c r="S41" s="35">
        <f>TRUNC(C41*3/4)+Abilities!B$15</f>
        <v>7</v>
      </c>
      <c r="T41" s="35">
        <f>Abilities!B$15</f>
        <v>1</v>
      </c>
      <c r="U41" s="35">
        <f>TRUNC(C41*3/4)+Abilities!C$15</f>
        <v>8</v>
      </c>
      <c r="V41" s="35">
        <v>0</v>
      </c>
      <c r="X41" s="35">
        <v>4</v>
      </c>
      <c r="Y41" s="35"/>
      <c r="Z41" s="35"/>
      <c r="AA41" s="35"/>
      <c r="AB41" s="35"/>
      <c r="AC41" s="35"/>
      <c r="AD41" s="35"/>
      <c r="AE41" s="35"/>
      <c r="AF41" s="35"/>
      <c r="AG41" s="35"/>
    </row>
    <row r="42" spans="2:33" ht="25.5">
      <c r="B42" s="37" t="str">
        <f>CONCATENATE("Rog",C42)</f>
        <v>Rog10</v>
      </c>
      <c r="C42" s="38">
        <v>10</v>
      </c>
      <c r="D42" s="39">
        <f>M42+X42</f>
        <v>6</v>
      </c>
      <c r="E42" s="40">
        <f>10+N42+Y42+Magic!D14+Magic!E14</f>
        <v>21</v>
      </c>
      <c r="F42" s="40" t="str">
        <f>CONCATENATE(C42,"d6+",O42+Z42)</f>
        <v>10d6+10</v>
      </c>
      <c r="G42" s="40" t="str">
        <f>CONCATENATE("+",P42+AA42,"/",Q42+AB42,"/",R42+AC42)</f>
        <v>+4/9/3</v>
      </c>
      <c r="H42" s="38">
        <v>30</v>
      </c>
      <c r="I42" s="41" t="str">
        <f>CONCATENATE("mace +",S42+AD42+Magic!G14," (1d6+",T42+AE42+Magic!G14,"), bow +",U42+AF42+Magic!F14," (1d8+",V42+AG42+Magic!F14,")")</f>
        <v>mace +10 (1d6+3), bow +12 (1d8+3)</v>
      </c>
      <c r="J42" s="42" t="str">
        <f>GETLEFTTOKENS(Feats!B$6,ROUNDUP(C42*3/4,0))</f>
        <v>point blank shot, sk (srch), sneak atk (2d6), imp init, alertness, rapid shot, evasion, sk (ddev)</v>
      </c>
      <c r="K42" s="22">
        <f>TRUNC(DICEAVG(F42))</f>
        <v>45</v>
      </c>
      <c r="M42" s="35">
        <f>Abilities!C$15</f>
        <v>2</v>
      </c>
      <c r="N42" s="35">
        <f>Gear!C$6+Gear!D$6+MIN(Gear!E$6,Abilities!C$15)</f>
        <v>5</v>
      </c>
      <c r="O42" s="35">
        <f>C42*Abilities!D$15</f>
        <v>10</v>
      </c>
      <c r="P42" s="35">
        <f>TRUNC(C42/3)+Abilities!D$15</f>
        <v>4</v>
      </c>
      <c r="Q42" s="35">
        <f>TRUNC(C42/2+2)+Abilities!C$15</f>
        <v>9</v>
      </c>
      <c r="R42" s="35">
        <f>TRUNC(C42/3)+Abilities!F$15</f>
        <v>3</v>
      </c>
      <c r="S42" s="35">
        <f>TRUNC(C42*3/4)+Abilities!B$15</f>
        <v>8</v>
      </c>
      <c r="T42" s="35">
        <f>Abilities!B$15</f>
        <v>1</v>
      </c>
      <c r="U42" s="35">
        <f>TRUNC(C42*3/4)+Abilities!C$15</f>
        <v>9</v>
      </c>
      <c r="V42" s="35">
        <v>0</v>
      </c>
      <c r="X42" s="35">
        <v>4</v>
      </c>
      <c r="Y42" s="35"/>
      <c r="Z42" s="35"/>
      <c r="AA42" s="35"/>
      <c r="AB42" s="35"/>
      <c r="AC42" s="35"/>
      <c r="AD42" s="35"/>
      <c r="AE42" s="35"/>
      <c r="AF42" s="35"/>
      <c r="AG42" s="35"/>
    </row>
    <row r="43" spans="2:33" ht="25.5">
      <c r="B43" s="37" t="str">
        <f>CONCATENATE("Rog",C43)</f>
        <v>Rog11</v>
      </c>
      <c r="C43" s="38">
        <v>11</v>
      </c>
      <c r="D43" s="39">
        <f>M43+X43</f>
        <v>6</v>
      </c>
      <c r="E43" s="40">
        <f>10+N43+Y43+Magic!D15+Magic!E15</f>
        <v>22</v>
      </c>
      <c r="F43" s="40" t="str">
        <f>CONCATENATE(C43,"d6+",O43+Z43)</f>
        <v>11d6+11</v>
      </c>
      <c r="G43" s="40" t="str">
        <f>CONCATENATE("+",P43+AA43,"/",Q43+AB43,"/",R43+AC43)</f>
        <v>+4/9/3</v>
      </c>
      <c r="H43" s="38">
        <v>30</v>
      </c>
      <c r="I43" s="41" t="str">
        <f>CONCATENATE("mace +",S43+AD43+Magic!G15," (1d6+",T43+AE43+Magic!G15,"), bow +",U43+AF43+Magic!F15," (1d8+",V43+AG43+Magic!F15,")")</f>
        <v>mace +12 (1d6+4), bow +13 (1d8+3)</v>
      </c>
      <c r="J43" s="42" t="str">
        <f>GETLEFTTOKENS(Feats!B$6,ROUNDUP(C43*3/4,0))</f>
        <v>point blank shot, sk (srch), sneak atk (2d6), imp init, alertness, rapid shot, evasion, sk (ddev), imp sneak atk (5d6)</v>
      </c>
      <c r="K43" s="22">
        <f>TRUNC(DICEAVG(F43))</f>
        <v>49</v>
      </c>
      <c r="M43" s="35">
        <f>Abilities!C$15</f>
        <v>2</v>
      </c>
      <c r="N43" s="35">
        <f>Gear!C$6+Gear!D$6+MIN(Gear!E$6,Abilities!C$15)</f>
        <v>5</v>
      </c>
      <c r="O43" s="35">
        <f>C43*Abilities!D$15</f>
        <v>11</v>
      </c>
      <c r="P43" s="35">
        <f>TRUNC(C43/3)+Abilities!D$15</f>
        <v>4</v>
      </c>
      <c r="Q43" s="35">
        <f>TRUNC(C43/2+2)+Abilities!C$15</f>
        <v>9</v>
      </c>
      <c r="R43" s="35">
        <f>TRUNC(C43/3)+Abilities!F$15</f>
        <v>3</v>
      </c>
      <c r="S43" s="35">
        <f>TRUNC(C43*3/4)+Abilities!B$15</f>
        <v>9</v>
      </c>
      <c r="T43" s="35">
        <f>Abilities!B$15</f>
        <v>1</v>
      </c>
      <c r="U43" s="35">
        <f>TRUNC(C43*3/4)+Abilities!C$15</f>
        <v>10</v>
      </c>
      <c r="V43" s="35">
        <v>0</v>
      </c>
      <c r="X43" s="35">
        <v>4</v>
      </c>
      <c r="Y43" s="35"/>
      <c r="Z43" s="35"/>
      <c r="AA43" s="35"/>
      <c r="AB43" s="35"/>
      <c r="AC43" s="35"/>
      <c r="AD43" s="35"/>
      <c r="AE43" s="35"/>
      <c r="AF43" s="35"/>
      <c r="AG43" s="35"/>
    </row>
    <row r="44" spans="2:33" ht="25.5">
      <c r="B44" s="37" t="str">
        <f>CONCATENATE("Rog",C44)</f>
        <v>Rog12</v>
      </c>
      <c r="C44" s="38">
        <v>12</v>
      </c>
      <c r="D44" s="39">
        <f>M44+X44</f>
        <v>6</v>
      </c>
      <c r="E44" s="40">
        <f>10+N44+Y44+Magic!D16+Magic!E16</f>
        <v>23</v>
      </c>
      <c r="F44" s="40" t="str">
        <f>CONCATENATE(C44,"d6+",O44+Z44)</f>
        <v>12d6+12</v>
      </c>
      <c r="G44" s="40" t="str">
        <f>CONCATENATE("+",P44+AA44,"/",Q44+AB44,"/",R44+AC44)</f>
        <v>+5/10/4</v>
      </c>
      <c r="H44" s="38">
        <v>30</v>
      </c>
      <c r="I44" s="41" t="str">
        <f>CONCATENATE("mace +",S44+AD44+Magic!G16," (1d6+",T44+AE44+Magic!G16,"), bow +",U44+AF44+Magic!F16," (1d8+",V44+AG44+Magic!F16,")")</f>
        <v>mace +13 (1d6+4), bow +15 (1d8+4)</v>
      </c>
      <c r="J44" s="42" t="str">
        <f>GETLEFTTOKENS(Feats!B$6,ROUNDUP(C44*3/4,0))</f>
        <v>point blank shot, sk (srch), sneak atk (2d6), imp init, alertness, rapid shot, evasion, sk (ddev), imp sneak atk (5d6)</v>
      </c>
      <c r="K44" s="22">
        <f>TRUNC(DICEAVG(F44))</f>
        <v>54</v>
      </c>
      <c r="M44" s="35">
        <f>Abilities!C$15</f>
        <v>2</v>
      </c>
      <c r="N44" s="35">
        <f>Gear!C$6+Gear!D$6+MIN(Gear!E$6,Abilities!C$15)</f>
        <v>5</v>
      </c>
      <c r="O44" s="35">
        <f>C44*Abilities!D$15</f>
        <v>12</v>
      </c>
      <c r="P44" s="35">
        <f>TRUNC(C44/3)+Abilities!D$15</f>
        <v>5</v>
      </c>
      <c r="Q44" s="35">
        <f>TRUNC(C44/2+2)+Abilities!C$15</f>
        <v>10</v>
      </c>
      <c r="R44" s="35">
        <f>TRUNC(C44/3)+Abilities!F$15</f>
        <v>4</v>
      </c>
      <c r="S44" s="35">
        <f>TRUNC(C44*3/4)+Abilities!B$15</f>
        <v>10</v>
      </c>
      <c r="T44" s="35">
        <f>Abilities!B$15</f>
        <v>1</v>
      </c>
      <c r="U44" s="35">
        <f>TRUNC(C44*3/4)+Abilities!C$15</f>
        <v>11</v>
      </c>
      <c r="V44" s="35">
        <v>0</v>
      </c>
      <c r="X44" s="35">
        <v>4</v>
      </c>
      <c r="Y44" s="35"/>
      <c r="Z44" s="35"/>
      <c r="AA44" s="35"/>
      <c r="AB44" s="35"/>
      <c r="AC44" s="35"/>
      <c r="AD44" s="35"/>
      <c r="AE44" s="35"/>
      <c r="AF44" s="35"/>
      <c r="AG44" s="35"/>
    </row>
    <row r="45" spans="2:33" ht="9">
      <c r="B45" s="29"/>
      <c r="C45" s="30"/>
      <c r="D45" s="31"/>
      <c r="E45" s="30"/>
      <c r="F45" s="30"/>
      <c r="G45" s="36"/>
      <c r="H45" s="30"/>
      <c r="I45" s="32"/>
      <c r="J45" s="33"/>
      <c r="K45" s="35"/>
      <c r="M45" s="35"/>
      <c r="N45" s="35"/>
      <c r="O45" s="35"/>
      <c r="P45" s="35"/>
      <c r="Q45" s="35"/>
      <c r="R45" s="35"/>
      <c r="S45" s="35"/>
      <c r="T45" s="35"/>
      <c r="U45" s="35"/>
      <c r="V45" s="35"/>
      <c r="X45" s="35"/>
      <c r="Y45" s="35"/>
      <c r="Z45" s="35"/>
      <c r="AA45" s="35"/>
      <c r="AB45" s="35"/>
      <c r="AC45" s="35"/>
      <c r="AD45" s="35"/>
      <c r="AE45" s="35"/>
      <c r="AF45" s="35"/>
      <c r="AG45" s="35"/>
    </row>
    <row r="46" spans="2:33" ht="9">
      <c r="B46" s="29"/>
      <c r="C46" s="30"/>
      <c r="D46" s="31"/>
      <c r="E46" s="30"/>
      <c r="F46" s="30"/>
      <c r="G46" s="36"/>
      <c r="H46" s="30"/>
      <c r="I46" s="32"/>
      <c r="J46" s="33"/>
      <c r="K46" s="35"/>
      <c r="M46" s="35"/>
      <c r="N46" s="35"/>
      <c r="O46" s="35"/>
      <c r="P46" s="35"/>
      <c r="Q46" s="35"/>
      <c r="R46" s="35"/>
      <c r="S46" s="35"/>
      <c r="T46" s="35"/>
      <c r="U46" s="35"/>
      <c r="V46" s="35"/>
      <c r="X46" s="35"/>
      <c r="Y46" s="35"/>
      <c r="Z46" s="35"/>
      <c r="AA46" s="35"/>
      <c r="AB46" s="35"/>
      <c r="AC46" s="35"/>
      <c r="AD46" s="35"/>
      <c r="AE46" s="35"/>
      <c r="AF46" s="35"/>
      <c r="AG46" s="35"/>
    </row>
    <row r="47" spans="2:33" ht="9.75">
      <c r="B47" s="37" t="str">
        <f>CONCATENATE("Wiz",C47)</f>
        <v>Wiz1</v>
      </c>
      <c r="C47" s="38">
        <v>1</v>
      </c>
      <c r="D47" s="39">
        <f>M47+X47</f>
        <v>2</v>
      </c>
      <c r="E47" s="40">
        <f>10+N47+Y47+Magic!E5</f>
        <v>12</v>
      </c>
      <c r="F47" s="40" t="str">
        <f>CONCATENATE(C47,"d4+",O47+Z47)</f>
        <v>1d4+1</v>
      </c>
      <c r="G47" s="40" t="str">
        <f>CONCATENATE("+",P47+AA47+Magic!D5,"/",Q47+AB47+Magic!D5,"/",R47+AC47+Magic!D5)</f>
        <v>+1/2/3</v>
      </c>
      <c r="H47" s="38">
        <v>30</v>
      </c>
      <c r="I47" s="41" t="str">
        <f>CONCATENATE("staff +",S47+AD47," (1d6+",T47+AE47,"), sling +",U47+AF47," (1d3+",V47+AG47,")")</f>
        <v>staff +0 (1d6+0), sling +2 (1d3+0)</v>
      </c>
      <c r="J47" s="42" t="str">
        <f>CONCATENATE("spells, ",Magic!B42,"; ",GETLEFTTOKENS(Feats!B$7,ROUNDUP(C47/2,0)))</f>
        <v>spells, minor scroll; scribe scroll</v>
      </c>
      <c r="K47" s="22">
        <f>TRUNC(DICEAVG(F47))</f>
        <v>3</v>
      </c>
      <c r="M47" s="35">
        <f>Abilities!C$16</f>
        <v>2</v>
      </c>
      <c r="N47" s="35">
        <f>Gear!C$7+Gear!D$7+MIN(Gear!E$7,Abilities!C$16)</f>
        <v>2</v>
      </c>
      <c r="O47" s="35">
        <f>C47*Abilities!D$16</f>
        <v>1</v>
      </c>
      <c r="P47" s="35">
        <f>TRUNC(C47/3)+Abilities!D$16</f>
        <v>1</v>
      </c>
      <c r="Q47" s="35">
        <f>TRUNC(C47/3)+Abilities!C$16</f>
        <v>2</v>
      </c>
      <c r="R47" s="35">
        <f>TRUNC(C47/2+2)+Abilities!F$16</f>
        <v>3</v>
      </c>
      <c r="S47" s="35">
        <f>TRUNC(C47/2)+Abilities!B$16</f>
        <v>0</v>
      </c>
      <c r="T47" s="35">
        <f>Abilities!B$16</f>
        <v>0</v>
      </c>
      <c r="U47" s="35">
        <f>TRUNC(C47/2)+Abilities!C$16</f>
        <v>2</v>
      </c>
      <c r="V47" s="35">
        <f>Abilities!B$16</f>
        <v>0</v>
      </c>
      <c r="X47" s="35"/>
      <c r="Y47" s="35"/>
      <c r="Z47" s="35"/>
      <c r="AA47" s="35"/>
      <c r="AB47" s="35"/>
      <c r="AC47" s="35"/>
      <c r="AD47" s="35"/>
      <c r="AE47" s="35"/>
      <c r="AF47" s="35"/>
      <c r="AG47" s="35"/>
    </row>
    <row r="48" spans="2:33" ht="9.75">
      <c r="B48" s="37" t="str">
        <f>CONCATENATE("Wiz",C48)</f>
        <v>Wiz2</v>
      </c>
      <c r="C48" s="38">
        <v>2</v>
      </c>
      <c r="D48" s="39">
        <f>M48+X48</f>
        <v>2</v>
      </c>
      <c r="E48" s="40">
        <f>10+N48+Y48+Magic!E6</f>
        <v>12</v>
      </c>
      <c r="F48" s="40" t="str">
        <f>CONCATENATE(C48,"d4+",O48+Z48)</f>
        <v>2d4+2</v>
      </c>
      <c r="G48" s="40" t="str">
        <f>CONCATENATE("+",P48+AA48+Magic!D6,"/",Q48+AB48+Magic!D6,"/",R48+AC48+Magic!D6)</f>
        <v>+1/2/4</v>
      </c>
      <c r="H48" s="38">
        <v>30</v>
      </c>
      <c r="I48" s="41" t="str">
        <f>CONCATENATE("staff +",S48+AD48," (1d6+",T48+AE48,"), sling +",U48+AF48," (1d3+",V48+AG48,")")</f>
        <v>staff +1 (1d6+0), sling +3 (1d3+0)</v>
      </c>
      <c r="J48" s="42" t="str">
        <f>CONCATENATE("spells, ",Magic!B43,"; ",GETLEFTTOKENS(Feats!B$7,ROUNDUP(C48/2,0)))</f>
        <v>spells, minor scroll; scribe scroll</v>
      </c>
      <c r="K48" s="22">
        <f>TRUNC(DICEAVG(F48))</f>
        <v>7</v>
      </c>
      <c r="M48" s="35">
        <f>Abilities!C$16</f>
        <v>2</v>
      </c>
      <c r="N48" s="35">
        <f>Gear!C$7+Gear!D$7+MIN(Gear!E$7,Abilities!C$16)</f>
        <v>2</v>
      </c>
      <c r="O48" s="35">
        <f>C48*Abilities!D$16</f>
        <v>2</v>
      </c>
      <c r="P48" s="35">
        <f>TRUNC(C48/3)+Abilities!D$16</f>
        <v>1</v>
      </c>
      <c r="Q48" s="35">
        <f>TRUNC(C48/3)+Abilities!C$16</f>
        <v>2</v>
      </c>
      <c r="R48" s="35">
        <f>TRUNC(C48/2+2)+Abilities!F$16</f>
        <v>4</v>
      </c>
      <c r="S48" s="35">
        <f>TRUNC(C48/2)+Abilities!B$16</f>
        <v>1</v>
      </c>
      <c r="T48" s="35">
        <f>Abilities!B$16</f>
        <v>0</v>
      </c>
      <c r="U48" s="35">
        <f>TRUNC(C48/2)+Abilities!C$16</f>
        <v>3</v>
      </c>
      <c r="V48" s="35">
        <f>Abilities!B$16</f>
        <v>0</v>
      </c>
      <c r="X48" s="35"/>
      <c r="Y48" s="35"/>
      <c r="Z48" s="35"/>
      <c r="AA48" s="35"/>
      <c r="AB48" s="35"/>
      <c r="AC48" s="35"/>
      <c r="AD48" s="35"/>
      <c r="AE48" s="35"/>
      <c r="AF48" s="35"/>
      <c r="AG48" s="35"/>
    </row>
    <row r="49" spans="2:33" ht="17.25">
      <c r="B49" s="37" t="str">
        <f>CONCATENATE("Wiz",C49)</f>
        <v>Wiz3</v>
      </c>
      <c r="C49" s="38">
        <v>3</v>
      </c>
      <c r="D49" s="39">
        <f>M49+X49</f>
        <v>2</v>
      </c>
      <c r="E49" s="40">
        <f>10+N49+Y49+Magic!E7</f>
        <v>13</v>
      </c>
      <c r="F49" s="40" t="str">
        <f>CONCATENATE(C49,"d4+",O49+Z49)</f>
        <v>3d4+3</v>
      </c>
      <c r="G49" s="40" t="str">
        <f>CONCATENATE("+",P49+AA49+Magic!D7,"/",Q49+AB49+Magic!D7,"/",R49+AC49+Magic!D7)</f>
        <v>+3/4/5</v>
      </c>
      <c r="H49" s="38">
        <v>30</v>
      </c>
      <c r="I49" s="41" t="str">
        <f>CONCATENATE("staff +",S49+AD49," (1d6+",T49+AE49,"), sling +",U49+AF49," (1d3+",V49+AG49,")")</f>
        <v>staff +1 (1d6+0), sling +3 (1d3+0)</v>
      </c>
      <c r="J49" s="42" t="str">
        <f>CONCATENATE("spells, ",Magic!B44,"; ",GETLEFTTOKENS(Feats!B$7,ROUNDUP(C49/2,0)))</f>
        <v>spells, minor scroll; scribe scroll, sk (heal)</v>
      </c>
      <c r="K49" s="22">
        <f>TRUNC(DICEAVG(F49))</f>
        <v>10</v>
      </c>
      <c r="M49" s="35">
        <f>Abilities!C$16</f>
        <v>2</v>
      </c>
      <c r="N49" s="35">
        <f>Gear!C$7+Gear!D$7+MIN(Gear!E$7,Abilities!C$16)</f>
        <v>2</v>
      </c>
      <c r="O49" s="35">
        <f>C49*Abilities!D$16</f>
        <v>3</v>
      </c>
      <c r="P49" s="35">
        <f>TRUNC(C49/3)+Abilities!D$16</f>
        <v>2</v>
      </c>
      <c r="Q49" s="35">
        <f>TRUNC(C49/3)+Abilities!C$16</f>
        <v>3</v>
      </c>
      <c r="R49" s="35">
        <f>TRUNC(C49/2+2)+Abilities!F$16</f>
        <v>4</v>
      </c>
      <c r="S49" s="35">
        <f>TRUNC(C49/2)+Abilities!B$16</f>
        <v>1</v>
      </c>
      <c r="T49" s="35">
        <f>Abilities!B$16</f>
        <v>0</v>
      </c>
      <c r="U49" s="35">
        <f>TRUNC(C49/2)+Abilities!C$16</f>
        <v>3</v>
      </c>
      <c r="V49" s="35">
        <f>Abilities!B$16</f>
        <v>0</v>
      </c>
      <c r="X49" s="35"/>
      <c r="Y49" s="35"/>
      <c r="Z49" s="35"/>
      <c r="AA49" s="35"/>
      <c r="AB49" s="35"/>
      <c r="AC49" s="35"/>
      <c r="AD49" s="35"/>
      <c r="AE49" s="35"/>
      <c r="AF49" s="35"/>
      <c r="AG49" s="35"/>
    </row>
    <row r="50" spans="2:33" ht="17.25">
      <c r="B50" s="37" t="str">
        <f>CONCATENATE("Wiz",C50)</f>
        <v>Wiz4</v>
      </c>
      <c r="C50" s="38">
        <v>4</v>
      </c>
      <c r="D50" s="39">
        <f>M50+X50</f>
        <v>2</v>
      </c>
      <c r="E50" s="40">
        <f>10+N50+Y50+Magic!E8</f>
        <v>13</v>
      </c>
      <c r="F50" s="40" t="str">
        <f>CONCATENATE(C50,"d4+",O50+Z50)</f>
        <v>4d4+4</v>
      </c>
      <c r="G50" s="40" t="str">
        <f>CONCATENATE("+",P50+AA50+Magic!D8,"/",Q50+AB50+Magic!D8,"/",R50+AC50+Magic!D8)</f>
        <v>+3/4/6</v>
      </c>
      <c r="H50" s="38">
        <v>30</v>
      </c>
      <c r="I50" s="41" t="str">
        <f>CONCATENATE("staff +",S50+AD50," (1d6+",T50+AE50,"), sling +",U50+AF50," (1d3+",V50+AG50,")")</f>
        <v>staff +2 (1d6+0), sling +4 (1d3+0)</v>
      </c>
      <c r="J50" s="42" t="str">
        <f>CONCATENATE("spells, ",Magic!B45,"; ",GETLEFTTOKENS(Feats!B$7,ROUNDUP(C50/2,0)))</f>
        <v>spells, medium scroll, wand of magic missile; scribe scroll, sk (heal)</v>
      </c>
      <c r="K50" s="22">
        <f>TRUNC(DICEAVG(F50))</f>
        <v>14</v>
      </c>
      <c r="M50" s="35">
        <f>Abilities!C$16</f>
        <v>2</v>
      </c>
      <c r="N50" s="35">
        <f>Gear!C$7+Gear!D$7+MIN(Gear!E$7,Abilities!C$16)</f>
        <v>2</v>
      </c>
      <c r="O50" s="35">
        <f>C50*Abilities!D$16</f>
        <v>4</v>
      </c>
      <c r="P50" s="35">
        <f>TRUNC(C50/3)+Abilities!D$16</f>
        <v>2</v>
      </c>
      <c r="Q50" s="35">
        <f>TRUNC(C50/3)+Abilities!C$16</f>
        <v>3</v>
      </c>
      <c r="R50" s="35">
        <f>TRUNC(C50/2+2)+Abilities!F$16</f>
        <v>5</v>
      </c>
      <c r="S50" s="35">
        <f>TRUNC(C50/2)+Abilities!B$16</f>
        <v>2</v>
      </c>
      <c r="T50" s="35">
        <f>Abilities!B$16</f>
        <v>0</v>
      </c>
      <c r="U50" s="35">
        <f>TRUNC(C50/2)+Abilities!C$16</f>
        <v>4</v>
      </c>
      <c r="V50" s="35">
        <f>Abilities!B$16</f>
        <v>0</v>
      </c>
      <c r="X50" s="35"/>
      <c r="Y50" s="35"/>
      <c r="Z50" s="35"/>
      <c r="AA50" s="35"/>
      <c r="AB50" s="35"/>
      <c r="AC50" s="35"/>
      <c r="AD50" s="35"/>
      <c r="AE50" s="35"/>
      <c r="AF50" s="35"/>
      <c r="AG50" s="35"/>
    </row>
    <row r="51" spans="2:33" ht="25.5">
      <c r="B51" s="37" t="str">
        <f>CONCATENATE("Wiz",C51)</f>
        <v>Wiz5</v>
      </c>
      <c r="C51" s="38">
        <v>5</v>
      </c>
      <c r="D51" s="39">
        <f>M51+X51</f>
        <v>2</v>
      </c>
      <c r="E51" s="40">
        <f>10+N51+Y51+Magic!E9</f>
        <v>13</v>
      </c>
      <c r="F51" s="40" t="str">
        <f>CONCATENATE(C51,"d4+",O51+Z51)</f>
        <v>5d4+5</v>
      </c>
      <c r="G51" s="40" t="str">
        <f>CONCATENATE("+",P51+AA51+Magic!D9,"/",Q51+AB51+Magic!D9,"/",R51+AC51+Magic!D9)</f>
        <v>+4/5/7</v>
      </c>
      <c r="H51" s="38">
        <v>30</v>
      </c>
      <c r="I51" s="41" t="str">
        <f>CONCATENATE("staff +",S51+AD51," (1d6+",T51+AE51,"), sling +",U51+AF51," (1d3+",V51+AG51,")")</f>
        <v>staff +2 (1d6+0), sling +4 (1d3+0)</v>
      </c>
      <c r="J51" s="42" t="str">
        <f>CONCATENATE("spells, ",Magic!B46,"; ",GETLEFTTOKENS(Feats!B$7,ROUNDUP(C51/2,0)))</f>
        <v>spells, medium scroll, wand of magic missile; scribe scroll, sk (heal), craft wand</v>
      </c>
      <c r="K51" s="22">
        <f>TRUNC(DICEAVG(F51))</f>
        <v>17</v>
      </c>
      <c r="M51" s="35">
        <f>Abilities!C$16</f>
        <v>2</v>
      </c>
      <c r="N51" s="35">
        <f>Gear!C$7+Gear!D$7+MIN(Gear!E$7,Abilities!C$16)</f>
        <v>2</v>
      </c>
      <c r="O51" s="35">
        <f>C51*Abilities!D$16</f>
        <v>5</v>
      </c>
      <c r="P51" s="35">
        <f>TRUNC(C51/3)+Abilities!D$16</f>
        <v>2</v>
      </c>
      <c r="Q51" s="35">
        <f>TRUNC(C51/3)+Abilities!C$16</f>
        <v>3</v>
      </c>
      <c r="R51" s="35">
        <f>TRUNC(C51/2+2)+Abilities!F$16</f>
        <v>5</v>
      </c>
      <c r="S51" s="35">
        <f>TRUNC(C51/2)+Abilities!B$16</f>
        <v>2</v>
      </c>
      <c r="T51" s="35">
        <f>Abilities!B$16</f>
        <v>0</v>
      </c>
      <c r="U51" s="35">
        <f>TRUNC(C51/2)+Abilities!C$16</f>
        <v>4</v>
      </c>
      <c r="V51" s="35">
        <f>Abilities!B$16</f>
        <v>0</v>
      </c>
      <c r="X51" s="35"/>
      <c r="Y51" s="35"/>
      <c r="Z51" s="35"/>
      <c r="AA51" s="35"/>
      <c r="AB51" s="35"/>
      <c r="AC51" s="35"/>
      <c r="AD51" s="35"/>
      <c r="AE51" s="35"/>
      <c r="AF51" s="35"/>
      <c r="AG51" s="35"/>
    </row>
    <row r="52" spans="2:33" ht="25.5">
      <c r="B52" s="37" t="str">
        <f>CONCATENATE("Wiz",C52)</f>
        <v>Wiz6</v>
      </c>
      <c r="C52" s="38">
        <v>6</v>
      </c>
      <c r="D52" s="39">
        <f>M52+X52</f>
        <v>2</v>
      </c>
      <c r="E52" s="40">
        <f>10+N52+Y52+Magic!E10</f>
        <v>13</v>
      </c>
      <c r="F52" s="40" t="str">
        <f>CONCATENATE(C52,"d4+",O52+Z52)</f>
        <v>6d4+6</v>
      </c>
      <c r="G52" s="40" t="str">
        <f>CONCATENATE("+",P52+AA52+Magic!D10,"/",Q52+AB52+Magic!D10,"/",R52+AC52+Magic!D10)</f>
        <v>+5/6/8</v>
      </c>
      <c r="H52" s="38">
        <v>30</v>
      </c>
      <c r="I52" s="41" t="str">
        <f>CONCATENATE("staff +",S52+AD52," (1d6+",T52+AE52,"), sling +",U52+AF52," (1d3+",V52+AG52,")")</f>
        <v>staff +3 (1d6+0), sling +5 (1d3+0)</v>
      </c>
      <c r="J52" s="42" t="str">
        <f>CONCATENATE("spells, ",Magic!B47,"; ",GETLEFTTOKENS(Feats!B$7,ROUNDUP(C52/2,0)))</f>
        <v>spells, medium scroll, wand of acid arrow; scribe scroll, sk (heal), craft wand</v>
      </c>
      <c r="K52" s="22">
        <f>TRUNC(DICEAVG(F52))</f>
        <v>21</v>
      </c>
      <c r="M52" s="35">
        <f>Abilities!C$16</f>
        <v>2</v>
      </c>
      <c r="N52" s="35">
        <f>Gear!C$7+Gear!D$7+MIN(Gear!E$7,Abilities!C$16)</f>
        <v>2</v>
      </c>
      <c r="O52" s="35">
        <f>C52*Abilities!D$16</f>
        <v>6</v>
      </c>
      <c r="P52" s="35">
        <f>TRUNC(C52/3)+Abilities!D$16</f>
        <v>3</v>
      </c>
      <c r="Q52" s="35">
        <f>TRUNC(C52/3)+Abilities!C$16</f>
        <v>4</v>
      </c>
      <c r="R52" s="35">
        <f>TRUNC(C52/2+2)+Abilities!F$16</f>
        <v>6</v>
      </c>
      <c r="S52" s="35">
        <f>TRUNC(C52/2)+Abilities!B$16</f>
        <v>3</v>
      </c>
      <c r="T52" s="35">
        <f>Abilities!B$16</f>
        <v>0</v>
      </c>
      <c r="U52" s="35">
        <f>TRUNC(C52/2)+Abilities!C$16</f>
        <v>5</v>
      </c>
      <c r="V52" s="35">
        <f>Abilities!B$16</f>
        <v>0</v>
      </c>
      <c r="X52" s="35"/>
      <c r="Y52" s="35"/>
      <c r="Z52" s="35"/>
      <c r="AA52" s="35"/>
      <c r="AB52" s="35"/>
      <c r="AC52" s="35"/>
      <c r="AD52" s="35"/>
      <c r="AE52" s="35"/>
      <c r="AF52" s="35"/>
      <c r="AG52" s="35"/>
    </row>
    <row r="53" spans="2:33" ht="25.5">
      <c r="B53" s="37" t="str">
        <f>CONCATENATE("Wiz",C53)</f>
        <v>Wiz7</v>
      </c>
      <c r="C53" s="38">
        <v>7</v>
      </c>
      <c r="D53" s="39">
        <f>M53+X53</f>
        <v>2</v>
      </c>
      <c r="E53" s="40">
        <f>10+N53+Y53+Magic!E11</f>
        <v>14</v>
      </c>
      <c r="F53" s="40" t="str">
        <f>CONCATENATE(C53,"d4+",O53+Z53)</f>
        <v>7d4+7</v>
      </c>
      <c r="G53" s="40" t="str">
        <f>CONCATENATE("+",P53+AA53+Magic!D11,"/",Q53+AB53+Magic!D11,"/",R53+AC53+Magic!D11)</f>
        <v>+6/7/9</v>
      </c>
      <c r="H53" s="38">
        <v>30</v>
      </c>
      <c r="I53" s="41" t="str">
        <f>CONCATENATE("staff +",S53+AD53," (1d6+",T53+AE53,"), sling +",U53+AF53," (1d3+",V53+AG53,")")</f>
        <v>staff +3 (1d6+0), sling +5 (1d3+0)</v>
      </c>
      <c r="J53" s="42" t="str">
        <f>CONCATENATE("spells, ",Magic!B48,"; ",GETLEFTTOKENS(Feats!B$7,ROUNDUP(C53/2,0)))</f>
        <v>spells, medium scroll, wand of acid arrow; scribe scroll, sk (heal), craft wand, sk (conc)</v>
      </c>
      <c r="K53" s="22">
        <f>TRUNC(DICEAVG(F53))</f>
        <v>24</v>
      </c>
      <c r="M53" s="35">
        <f>Abilities!C$16</f>
        <v>2</v>
      </c>
      <c r="N53" s="35">
        <f>Gear!C$7+Gear!D$7+MIN(Gear!E$7,Abilities!C$16)</f>
        <v>2</v>
      </c>
      <c r="O53" s="35">
        <f>C53*Abilities!D$16</f>
        <v>7</v>
      </c>
      <c r="P53" s="35">
        <f>TRUNC(C53/3)+Abilities!D$16</f>
        <v>3</v>
      </c>
      <c r="Q53" s="35">
        <f>TRUNC(C53/3)+Abilities!C$16</f>
        <v>4</v>
      </c>
      <c r="R53" s="35">
        <f>TRUNC(C53/2+2)+Abilities!F$16</f>
        <v>6</v>
      </c>
      <c r="S53" s="35">
        <f>TRUNC(C53/2)+Abilities!B$16</f>
        <v>3</v>
      </c>
      <c r="T53" s="35">
        <f>Abilities!B$16</f>
        <v>0</v>
      </c>
      <c r="U53" s="35">
        <f>TRUNC(C53/2)+Abilities!C$16</f>
        <v>5</v>
      </c>
      <c r="V53" s="35">
        <f>Abilities!B$16</f>
        <v>0</v>
      </c>
      <c r="X53" s="35"/>
      <c r="Y53" s="35"/>
      <c r="Z53" s="35"/>
      <c r="AA53" s="35"/>
      <c r="AB53" s="35"/>
      <c r="AC53" s="35"/>
      <c r="AD53" s="35"/>
      <c r="AE53" s="35"/>
      <c r="AF53" s="35"/>
      <c r="AG53" s="35"/>
    </row>
    <row r="54" spans="2:33" ht="25.5">
      <c r="B54" s="37" t="str">
        <f>CONCATENATE("Wiz",C54)</f>
        <v>Wiz8</v>
      </c>
      <c r="C54" s="38">
        <v>8</v>
      </c>
      <c r="D54" s="39">
        <f>M54+X54</f>
        <v>2</v>
      </c>
      <c r="E54" s="40">
        <f>10+N54+Y54+Magic!E12</f>
        <v>14</v>
      </c>
      <c r="F54" s="40" t="str">
        <f>CONCATENATE(C54,"d4+",O54+Z54)</f>
        <v>8d4+8</v>
      </c>
      <c r="G54" s="40" t="str">
        <f>CONCATENATE("+",P54+AA54+Magic!D12,"/",Q54+AB54+Magic!D12,"/",R54+AC54+Magic!D12)</f>
        <v>+6/7/10</v>
      </c>
      <c r="H54" s="38">
        <v>30</v>
      </c>
      <c r="I54" s="41" t="str">
        <f>CONCATENATE("staff +",S54+AD54," (1d6+",T54+AE54,"), sling +",U54+AF54," (1d3+",V54+AG54,")")</f>
        <v>staff +4 (1d6+0), sling +6 (1d3+0)</v>
      </c>
      <c r="J54" s="42" t="str">
        <f>CONCATENATE("spells, ",Magic!B49,"; ",GETLEFTTOKENS(Feats!B$7,ROUNDUP(C54/2,0)))</f>
        <v>spells, major scroll, wand of lightning bolt; scribe scroll, sk (heal), craft wand, sk (conc)</v>
      </c>
      <c r="K54" s="22">
        <f>TRUNC(DICEAVG(F54))</f>
        <v>28</v>
      </c>
      <c r="M54" s="35">
        <f>Abilities!C$16</f>
        <v>2</v>
      </c>
      <c r="N54" s="35">
        <f>Gear!C$7+Gear!D$7+MIN(Gear!E$7,Abilities!C$16)</f>
        <v>2</v>
      </c>
      <c r="O54" s="35">
        <f>C54*Abilities!D$16</f>
        <v>8</v>
      </c>
      <c r="P54" s="35">
        <f>TRUNC(C54/3)+Abilities!D$16</f>
        <v>3</v>
      </c>
      <c r="Q54" s="35">
        <f>TRUNC(C54/3)+Abilities!C$16</f>
        <v>4</v>
      </c>
      <c r="R54" s="35">
        <f>TRUNC(C54/2+2)+Abilities!F$16</f>
        <v>7</v>
      </c>
      <c r="S54" s="35">
        <f>TRUNC(C54/2)+Abilities!B$16</f>
        <v>4</v>
      </c>
      <c r="T54" s="35">
        <f>Abilities!B$16</f>
        <v>0</v>
      </c>
      <c r="U54" s="35">
        <f>TRUNC(C54/2)+Abilities!C$16</f>
        <v>6</v>
      </c>
      <c r="V54" s="35">
        <f>Abilities!B$16</f>
        <v>0</v>
      </c>
      <c r="X54" s="35"/>
      <c r="Y54" s="35"/>
      <c r="Z54" s="35"/>
      <c r="AA54" s="35"/>
      <c r="AB54" s="35"/>
      <c r="AC54" s="35"/>
      <c r="AD54" s="35"/>
      <c r="AE54" s="35"/>
      <c r="AF54" s="35"/>
      <c r="AG54" s="35"/>
    </row>
    <row r="55" spans="2:33" ht="33.75">
      <c r="B55" s="37" t="str">
        <f>CONCATENATE("Wiz",C55)</f>
        <v>Wiz9</v>
      </c>
      <c r="C55" s="38">
        <v>9</v>
      </c>
      <c r="D55" s="39">
        <f>M55+X55</f>
        <v>2</v>
      </c>
      <c r="E55" s="40">
        <f>10+N55+Y55+Magic!E13</f>
        <v>17</v>
      </c>
      <c r="F55" s="40" t="str">
        <f>CONCATENATE(C55,"d4+",O55+Z55)</f>
        <v>9d4+9</v>
      </c>
      <c r="G55" s="40" t="str">
        <f>CONCATENATE("+",P55+AA55+Magic!D13,"/",Q55+AB55+Magic!D13,"/",R55+AC55+Magic!D13)</f>
        <v>+7/8/10</v>
      </c>
      <c r="H55" s="38">
        <v>30</v>
      </c>
      <c r="I55" s="41" t="str">
        <f>CONCATENATE("staff +",S55+AD55," (1d6+",T55+AE55,"), sling +",U55+AF55," (1d3+",V55+AG55,")")</f>
        <v>staff +4 (1d6+0), sling +6 (1d3+0)</v>
      </c>
      <c r="J55" s="42" t="str">
        <f>CONCATENATE("spells, ",Magic!B50,"; ",GETLEFTTOKENS(Feats!B$7,ROUNDUP(C55/2,0)))</f>
        <v>spells, major scroll, wand of lightning bolt, bracers +2; scribe scroll, sk (heal), craft wand, sk (conc), craft wondrous item</v>
      </c>
      <c r="K55" s="22">
        <f>TRUNC(DICEAVG(F55))</f>
        <v>31</v>
      </c>
      <c r="M55" s="35">
        <f>Abilities!C$16</f>
        <v>2</v>
      </c>
      <c r="N55" s="35">
        <f>Gear!C$7+Gear!D$7+MIN(Gear!E$7,Abilities!C$16)</f>
        <v>2</v>
      </c>
      <c r="O55" s="35">
        <f>C55*Abilities!D$16</f>
        <v>9</v>
      </c>
      <c r="P55" s="35">
        <f>TRUNC(C55/3)+Abilities!D$16</f>
        <v>4</v>
      </c>
      <c r="Q55" s="35">
        <f>TRUNC(C55/3)+Abilities!C$16</f>
        <v>5</v>
      </c>
      <c r="R55" s="35">
        <f>TRUNC(C55/2+2)+Abilities!F$16</f>
        <v>7</v>
      </c>
      <c r="S55" s="35">
        <f>TRUNC(C55/2)+Abilities!B$16</f>
        <v>4</v>
      </c>
      <c r="T55" s="35">
        <f>Abilities!B$16</f>
        <v>0</v>
      </c>
      <c r="U55" s="35">
        <f>TRUNC(C55/2)+Abilities!C$16</f>
        <v>6</v>
      </c>
      <c r="V55" s="35">
        <f>Abilities!B$16</f>
        <v>0</v>
      </c>
      <c r="X55" s="35"/>
      <c r="Y55" s="35">
        <v>2</v>
      </c>
      <c r="Z55" s="35"/>
      <c r="AA55" s="35"/>
      <c r="AB55" s="35"/>
      <c r="AC55" s="35"/>
      <c r="AD55" s="35"/>
      <c r="AE55" s="35"/>
      <c r="AF55" s="35"/>
      <c r="AG55" s="35"/>
    </row>
    <row r="56" spans="2:33" ht="33.75">
      <c r="B56" s="37" t="str">
        <f>CONCATENATE("Wiz",C56)</f>
        <v>Wiz10</v>
      </c>
      <c r="C56" s="38">
        <v>10</v>
      </c>
      <c r="D56" s="39">
        <f>M56+X56</f>
        <v>2</v>
      </c>
      <c r="E56" s="40">
        <f>10+N56+Y56+Magic!E14</f>
        <v>19</v>
      </c>
      <c r="F56" s="40" t="str">
        <f>CONCATENATE(C56,"d4+",O56+Z56)</f>
        <v>10d4+10</v>
      </c>
      <c r="G56" s="40" t="str">
        <f>CONCATENATE("+",P56+AA56+Magic!D14,"/",Q56+AB56+Magic!D14,"/",R56+AC56+Magic!D14)</f>
        <v>+7/8/11</v>
      </c>
      <c r="H56" s="38">
        <v>30</v>
      </c>
      <c r="I56" s="41" t="str">
        <f>CONCATENATE("staff +",S56+AD56," (1d6+",T56+AE56,"), sling +",U56+AF56," (1d3+",V56+AG56,")")</f>
        <v>staff +5 (1d6+0), sling +7 (1d3+0)</v>
      </c>
      <c r="J56" s="42" t="str">
        <f>CONCATENATE("spells, ",Magic!B51,"; ",GETLEFTTOKENS(Feats!B$7,ROUNDUP(C56/2,0)))</f>
        <v>spells, major scroll, wand of polymorph other, bracers +4; scribe scroll, sk (heal), craft wand, sk (conc), craft wondrous item</v>
      </c>
      <c r="K56" s="22">
        <f>TRUNC(DICEAVG(F56))</f>
        <v>35</v>
      </c>
      <c r="M56" s="35">
        <f>Abilities!C$16</f>
        <v>2</v>
      </c>
      <c r="N56" s="35">
        <f>Gear!C$7+Gear!D$7+MIN(Gear!E$7,Abilities!C$16)</f>
        <v>2</v>
      </c>
      <c r="O56" s="35">
        <f>C56*Abilities!D$16</f>
        <v>10</v>
      </c>
      <c r="P56" s="35">
        <f>TRUNC(C56/3)+Abilities!D$16</f>
        <v>4</v>
      </c>
      <c r="Q56" s="35">
        <f>TRUNC(C56/3)+Abilities!C$16</f>
        <v>5</v>
      </c>
      <c r="R56" s="35">
        <f>TRUNC(C56/2+2)+Abilities!F$16</f>
        <v>8</v>
      </c>
      <c r="S56" s="35">
        <f>TRUNC(C56/2)+Abilities!B$16</f>
        <v>5</v>
      </c>
      <c r="T56" s="35">
        <f>Abilities!B$16</f>
        <v>0</v>
      </c>
      <c r="U56" s="35">
        <f>TRUNC(C56/2)+Abilities!C$16</f>
        <v>7</v>
      </c>
      <c r="V56" s="35">
        <f>Abilities!B$16</f>
        <v>0</v>
      </c>
      <c r="X56" s="35"/>
      <c r="Y56" s="35">
        <v>4</v>
      </c>
      <c r="Z56" s="35"/>
      <c r="AA56" s="35"/>
      <c r="AB56" s="35"/>
      <c r="AC56" s="35"/>
      <c r="AD56" s="35"/>
      <c r="AE56" s="35"/>
      <c r="AF56" s="35"/>
      <c r="AG56" s="35"/>
    </row>
    <row r="57" spans="2:33" ht="33.75">
      <c r="B57" s="37" t="str">
        <f>CONCATENATE("Wiz",C57)</f>
        <v>Wiz11</v>
      </c>
      <c r="C57" s="38">
        <v>11</v>
      </c>
      <c r="D57" s="39">
        <f>M57+X57</f>
        <v>2</v>
      </c>
      <c r="E57" s="40">
        <f>10+N57+Y57+Magic!E15</f>
        <v>19</v>
      </c>
      <c r="F57" s="40" t="str">
        <f>CONCATENATE(C57,"d4+",O57+Z57)</f>
        <v>11d4+11</v>
      </c>
      <c r="G57" s="40" t="str">
        <f>CONCATENATE("+",P57+AA57+Magic!D15,"/",Q57+AB57+Magic!D15,"/",R57+AC57+Magic!D15)</f>
        <v>+8/9/12</v>
      </c>
      <c r="H57" s="38">
        <v>30</v>
      </c>
      <c r="I57" s="41" t="str">
        <f>CONCATENATE("staff +",S57+AD57," (1d6+",T57+AE57,"), sling +",U57+AF57," (1d3+",V57+AG57,")")</f>
        <v>staff +5 (1d6+0), sling +7 (1d3+0)</v>
      </c>
      <c r="J57" s="42" t="str">
        <f>CONCATENATE("spells, ",Magic!B52,"; ",GETLEFTTOKENS(Feats!B$7,ROUNDUP(C57/2,0)))</f>
        <v>spells, major scroll, wand of polymorph other, bracers +4; scribe scroll, sk (heal), craft wand, sk (conc), craft wondrous item, forge ring</v>
      </c>
      <c r="K57" s="22">
        <f>TRUNC(DICEAVG(F57))</f>
        <v>38</v>
      </c>
      <c r="M57" s="35">
        <f>Abilities!C$16</f>
        <v>2</v>
      </c>
      <c r="N57" s="35">
        <f>Gear!C$7+Gear!D$7+MIN(Gear!E$7,Abilities!C$16)</f>
        <v>2</v>
      </c>
      <c r="O57" s="35">
        <f>C57*Abilities!D$16</f>
        <v>11</v>
      </c>
      <c r="P57" s="35">
        <f>TRUNC(C57/3)+Abilities!D$16</f>
        <v>4</v>
      </c>
      <c r="Q57" s="35">
        <f>TRUNC(C57/3)+Abilities!C$16</f>
        <v>5</v>
      </c>
      <c r="R57" s="35">
        <f>TRUNC(C57/2+2)+Abilities!F$16</f>
        <v>8</v>
      </c>
      <c r="S57" s="35">
        <f>TRUNC(C57/2)+Abilities!B$16</f>
        <v>5</v>
      </c>
      <c r="T57" s="35">
        <f>Abilities!B$16</f>
        <v>0</v>
      </c>
      <c r="U57" s="35">
        <f>TRUNC(C57/2)+Abilities!C$16</f>
        <v>7</v>
      </c>
      <c r="V57" s="35">
        <f>Abilities!B$16</f>
        <v>0</v>
      </c>
      <c r="X57" s="35"/>
      <c r="Y57" s="35">
        <v>4</v>
      </c>
      <c r="Z57" s="35"/>
      <c r="AA57" s="35"/>
      <c r="AB57" s="35"/>
      <c r="AC57" s="35"/>
      <c r="AD57" s="35"/>
      <c r="AE57" s="35"/>
      <c r="AF57" s="35"/>
      <c r="AG57" s="35"/>
    </row>
    <row r="58" spans="2:33" ht="33.75">
      <c r="B58" s="37" t="str">
        <f>CONCATENATE("Wiz",C58)</f>
        <v>Wiz12</v>
      </c>
      <c r="C58" s="38">
        <v>12</v>
      </c>
      <c r="D58" s="39">
        <f>M58+X58</f>
        <v>2</v>
      </c>
      <c r="E58" s="40">
        <f>10+N58+Y58+Magic!E16</f>
        <v>22</v>
      </c>
      <c r="F58" s="40" t="str">
        <f>CONCATENATE(C58,"d4+",O58+Z58)</f>
        <v>12d4+12</v>
      </c>
      <c r="G58" s="40" t="str">
        <f>CONCATENATE("+",P58+AA58+Magic!D16,"/",Q58+AB58+Magic!D16,"/",R58+AC58+Magic!D16)</f>
        <v>+9/10/13</v>
      </c>
      <c r="H58" s="38">
        <v>30</v>
      </c>
      <c r="I58" s="41" t="str">
        <f>CONCATENATE("staff +",S58+AD58," (1d6+",T58+AE58,"), sling +",U58+AF58," (1d3+",V58+AG58,")")</f>
        <v>staff +6 (1d6+0), sling +8 (1d3+0)</v>
      </c>
      <c r="J58" s="42" t="str">
        <f>CONCATENATE("spells, ",Magic!B53,"; ",GETLEFTTOKENS(Feats!B$7,ROUNDUP(C58/2,0)))</f>
        <v>spells, major scroll, wand of polymorph other, bracers +6; scribe scroll, sk (heal), craft wand, sk (conc), craft wondrous item, forge ring</v>
      </c>
      <c r="K58" s="22">
        <f>TRUNC(DICEAVG(F58))</f>
        <v>42</v>
      </c>
      <c r="M58" s="35">
        <f>Abilities!C$16</f>
        <v>2</v>
      </c>
      <c r="N58" s="35">
        <f>Gear!C$7+Gear!D$7+MIN(Gear!E$7,Abilities!C$16)</f>
        <v>2</v>
      </c>
      <c r="O58" s="35">
        <f>C58*Abilities!D$16</f>
        <v>12</v>
      </c>
      <c r="P58" s="35">
        <f>TRUNC(C58/3)+Abilities!D$16</f>
        <v>5</v>
      </c>
      <c r="Q58" s="35">
        <f>TRUNC(C58/3)+Abilities!C$16</f>
        <v>6</v>
      </c>
      <c r="R58" s="35">
        <f>TRUNC(C58/2+2)+Abilities!F$16</f>
        <v>9</v>
      </c>
      <c r="S58" s="35">
        <f>TRUNC(C58/2)+Abilities!B$16</f>
        <v>6</v>
      </c>
      <c r="T58" s="35">
        <f>Abilities!B$16</f>
        <v>0</v>
      </c>
      <c r="U58" s="35">
        <f>TRUNC(C58/2)+Abilities!C$16</f>
        <v>8</v>
      </c>
      <c r="V58" s="35">
        <f>Abilities!B$16</f>
        <v>0</v>
      </c>
      <c r="X58" s="35"/>
      <c r="Y58" s="35">
        <v>6</v>
      </c>
      <c r="Z58" s="35"/>
      <c r="AA58" s="35"/>
      <c r="AB58" s="35"/>
      <c r="AC58" s="35"/>
      <c r="AD58" s="35"/>
      <c r="AE58" s="35"/>
      <c r="AF58" s="35"/>
      <c r="AG58" s="35"/>
    </row>
    <row r="59" spans="2:33" ht="9">
      <c r="B59" s="29"/>
      <c r="C59" s="30"/>
      <c r="D59" s="31"/>
      <c r="E59" s="30"/>
      <c r="F59" s="30"/>
      <c r="G59" s="36"/>
      <c r="H59" s="30"/>
      <c r="I59" s="32"/>
      <c r="J59" s="33"/>
      <c r="K59" s="35"/>
      <c r="M59" s="35"/>
      <c r="N59" s="35"/>
      <c r="O59" s="35"/>
      <c r="P59" s="35"/>
      <c r="Q59" s="35"/>
      <c r="R59" s="35"/>
      <c r="S59" s="35"/>
      <c r="T59" s="35"/>
      <c r="U59" s="35"/>
      <c r="V59" s="35"/>
      <c r="X59" s="35"/>
      <c r="Y59" s="35"/>
      <c r="Z59" s="35"/>
      <c r="AA59" s="35"/>
      <c r="AB59" s="35"/>
      <c r="AC59" s="35"/>
      <c r="AD59" s="35"/>
      <c r="AE59" s="35"/>
      <c r="AF59" s="35"/>
      <c r="AG59" s="35"/>
    </row>
    <row r="60" spans="2:33" ht="9">
      <c r="B60" s="29"/>
      <c r="C60" s="30"/>
      <c r="D60" s="31"/>
      <c r="E60" s="30"/>
      <c r="F60" s="30"/>
      <c r="G60" s="36"/>
      <c r="H60" s="30"/>
      <c r="I60" s="32"/>
      <c r="J60" s="33"/>
      <c r="K60" s="35"/>
      <c r="M60" s="35"/>
      <c r="N60" s="35"/>
      <c r="O60" s="35"/>
      <c r="P60" s="35"/>
      <c r="Q60" s="35"/>
      <c r="R60" s="35"/>
      <c r="S60" s="35"/>
      <c r="T60" s="35"/>
      <c r="U60" s="35"/>
      <c r="V60" s="35"/>
      <c r="X60" s="35"/>
      <c r="Y60" s="35"/>
      <c r="Z60" s="35"/>
      <c r="AA60" s="35"/>
      <c r="AB60" s="35"/>
      <c r="AC60" s="35"/>
      <c r="AD60" s="35"/>
      <c r="AE60" s="35"/>
      <c r="AF60" s="35"/>
      <c r="AG60" s="35"/>
    </row>
  </sheetData>
  <printOptions/>
  <pageMargins left="0.5" right="0.5" top="0.7375" bottom="0.7375" header="0.5" footer="0.5"/>
  <pageSetup horizontalDpi="300" verticalDpi="300" orientation="portrait"/>
  <headerFooter alignWithMargins="0">
    <oddHeader>&amp;C&amp;A</oddHeader>
    <oddFooter>&amp;CPage &amp;P</oddFoot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K122"/>
  <sheetViews>
    <sheetView tabSelected="1" workbookViewId="0" topLeftCell="A1">
      <selection activeCell="A1" sqref="A1"/>
    </sheetView>
  </sheetViews>
  <sheetFormatPr defaultColWidth="12.57421875" defaultRowHeight="12.75"/>
  <cols>
    <col min="1" max="1" width="3.28125" style="21" customWidth="1"/>
    <col min="2" max="2" width="6.421875" style="26" customWidth="1"/>
    <col min="3" max="3" width="2.57421875" style="43" customWidth="1"/>
    <col min="4" max="4" width="2.57421875" style="44" customWidth="1"/>
    <col min="5" max="5" width="2.57421875" style="43" customWidth="1"/>
    <col min="6" max="7" width="6.421875" style="43" customWidth="1"/>
    <col min="8" max="8" width="3.28125" style="43" customWidth="1"/>
    <col min="9" max="10" width="26.00390625" style="27" customWidth="1"/>
    <col min="11" max="11" width="3.28125" style="43" customWidth="1"/>
    <col min="12" max="16384" width="11.57421875" style="21" customWidth="1"/>
  </cols>
  <sheetData>
    <row r="1" spans="1:7" ht="11.25">
      <c r="A1" s="3" t="s">
        <v>87</v>
      </c>
      <c r="G1" s="45"/>
    </row>
    <row r="2" spans="1:7" ht="9">
      <c r="A2" s="28" t="s">
        <v>67</v>
      </c>
      <c r="G2" s="45"/>
    </row>
    <row r="3" spans="1:7" ht="9">
      <c r="A3" s="28"/>
      <c r="G3" s="45"/>
    </row>
    <row r="4" ht="9">
      <c r="G4" s="45"/>
    </row>
    <row r="5" spans="2:10" ht="11.25">
      <c r="B5" s="46" t="s">
        <v>88</v>
      </c>
      <c r="C5" s="47"/>
      <c r="D5" s="48"/>
      <c r="E5" s="47"/>
      <c r="F5" s="47"/>
      <c r="G5" s="47"/>
      <c r="H5" s="47"/>
      <c r="I5" s="33"/>
      <c r="J5" s="33"/>
    </row>
    <row r="6" spans="2:11" ht="9.75">
      <c r="B6" s="29" t="s">
        <v>72</v>
      </c>
      <c r="C6" s="30" t="s">
        <v>73</v>
      </c>
      <c r="D6" s="31" t="s">
        <v>74</v>
      </c>
      <c r="E6" s="30" t="s">
        <v>75</v>
      </c>
      <c r="F6" s="30" t="s">
        <v>76</v>
      </c>
      <c r="G6" s="36" t="s">
        <v>77</v>
      </c>
      <c r="H6" s="30" t="s">
        <v>78</v>
      </c>
      <c r="I6" s="32" t="s">
        <v>79</v>
      </c>
      <c r="J6" s="32" t="s">
        <v>80</v>
      </c>
      <c r="K6" s="35" t="s">
        <v>81</v>
      </c>
    </row>
    <row r="7" spans="2:11" ht="9.75">
      <c r="B7" s="49" t="str">
        <f>Stats!B$5</f>
        <v>FtrE1</v>
      </c>
      <c r="C7" s="50">
        <f>Stats!C$5</f>
        <v>1</v>
      </c>
      <c r="D7" s="51">
        <f>Stats!D$5</f>
        <v>2</v>
      </c>
      <c r="E7" s="50">
        <f>Stats!E$5</f>
        <v>19</v>
      </c>
      <c r="F7" s="50" t="str">
        <f>Stats!F$5</f>
        <v>1d10+1</v>
      </c>
      <c r="G7" s="50" t="str">
        <f>Stats!G$5</f>
        <v>+3/2/-1</v>
      </c>
      <c r="H7" s="50">
        <f>Stats!H$5</f>
        <v>20</v>
      </c>
      <c r="I7" s="41" t="str">
        <f>Stats!I$5</f>
        <v>longsword +3 (1d8+2), bow +3 (1d8+0)</v>
      </c>
      <c r="J7" s="52" t="str">
        <f>Stats!J$5</f>
        <v>expertise</v>
      </c>
      <c r="K7" s="53">
        <f>TRUNC(DICEAVG(F7))</f>
        <v>6</v>
      </c>
    </row>
    <row r="8" spans="2:11" ht="9.75">
      <c r="B8" s="49" t="str">
        <f>Stats!B$19</f>
        <v>FtrP1</v>
      </c>
      <c r="C8" s="50">
        <f>Stats!C$19</f>
        <v>1</v>
      </c>
      <c r="D8" s="51">
        <f>Stats!D$19</f>
        <v>1</v>
      </c>
      <c r="E8" s="50">
        <f>Stats!E$19</f>
        <v>17</v>
      </c>
      <c r="F8" s="50" t="str">
        <f>Stats!F$19</f>
        <v>1d10+2</v>
      </c>
      <c r="G8" s="50" t="str">
        <f>Stats!G$19</f>
        <v>+4/1/1</v>
      </c>
      <c r="H8" s="50">
        <f>Stats!H$19</f>
        <v>20</v>
      </c>
      <c r="I8" s="41" t="str">
        <f>Stats!I$19</f>
        <v>greataxe +3 (1d12+3), bow +2 (1d8+0)</v>
      </c>
      <c r="J8" s="52" t="str">
        <f>Stats!J$19</f>
        <v>power atk</v>
      </c>
      <c r="K8" s="53">
        <f>TRUNC(DICEAVG(F8))</f>
        <v>7</v>
      </c>
    </row>
    <row r="9" spans="2:11" ht="9.75">
      <c r="B9" s="49" t="str">
        <f>Stats!B$33</f>
        <v>Rog1</v>
      </c>
      <c r="C9" s="50">
        <f>Stats!C$33</f>
        <v>1</v>
      </c>
      <c r="D9" s="51">
        <f>Stats!D$33</f>
        <v>2</v>
      </c>
      <c r="E9" s="50">
        <f>Stats!E$33</f>
        <v>15</v>
      </c>
      <c r="F9" s="50" t="str">
        <f>Stats!F$33</f>
        <v>1d6+1</v>
      </c>
      <c r="G9" s="50" t="str">
        <f>Stats!G$33</f>
        <v>+1/4/0</v>
      </c>
      <c r="H9" s="50">
        <f>Stats!H$33</f>
        <v>30</v>
      </c>
      <c r="I9" s="41" t="str">
        <f>Stats!I$33</f>
        <v>mace +1 (1d6+1), bow +2 (1d8+0)</v>
      </c>
      <c r="J9" s="52" t="str">
        <f>Stats!J$33</f>
        <v>point blank shot</v>
      </c>
      <c r="K9" s="53">
        <f>TRUNC(DICEAVG(F9))</f>
        <v>4</v>
      </c>
    </row>
    <row r="10" spans="2:11" ht="9.75">
      <c r="B10" s="49" t="str">
        <f>Stats!B$47</f>
        <v>Wiz1</v>
      </c>
      <c r="C10" s="50">
        <f>Stats!C$47</f>
        <v>1</v>
      </c>
      <c r="D10" s="51">
        <f>Stats!D$47</f>
        <v>2</v>
      </c>
      <c r="E10" s="50">
        <f>Stats!E$47</f>
        <v>12</v>
      </c>
      <c r="F10" s="50" t="str">
        <f>Stats!F$47</f>
        <v>1d4+1</v>
      </c>
      <c r="G10" s="50" t="str">
        <f>Stats!G$47</f>
        <v>+1/2/3</v>
      </c>
      <c r="H10" s="50">
        <f>Stats!H$47</f>
        <v>30</v>
      </c>
      <c r="I10" s="41" t="str">
        <f>Stats!I$47</f>
        <v>staff +0 (1d6+0), sling +2 (1d3+0)</v>
      </c>
      <c r="J10" s="52" t="str">
        <f>Stats!J$47</f>
        <v>spells, minor scroll; scribe scroll</v>
      </c>
      <c r="K10" s="53">
        <f>TRUNC(DICEAVG(F10))</f>
        <v>3</v>
      </c>
    </row>
    <row r="11" ht="9.75">
      <c r="K11" s="54">
        <f>SUM(K7:K10)</f>
        <v>20</v>
      </c>
    </row>
    <row r="12" spans="2:11" ht="9.75">
      <c r="B12" s="55" t="str">
        <f>CONCATENATE("Wizard Spells (DC ",10+Abilities!E$16,"+level; cast ",Spells!K$5,"): ",Known!B$15)</f>
        <v>Wizard Spells (DC 12+level; cast 3/4): 1st -- magic missile, mage armor; 0th -- detect magic, read magic, arcane mark, prestidigitation</v>
      </c>
      <c r="C12" s="55"/>
      <c r="D12" s="55"/>
      <c r="E12" s="55"/>
      <c r="F12" s="55"/>
      <c r="G12" s="55"/>
      <c r="H12" s="55"/>
      <c r="I12" s="55"/>
      <c r="J12" s="55"/>
      <c r="K12" s="54"/>
    </row>
    <row r="13" ht="9">
      <c r="K13" s="54"/>
    </row>
    <row r="15" spans="2:10" ht="11.25">
      <c r="B15" s="46" t="s">
        <v>89</v>
      </c>
      <c r="C15" s="47"/>
      <c r="D15" s="48"/>
      <c r="E15" s="47"/>
      <c r="F15" s="47"/>
      <c r="G15" s="47"/>
      <c r="H15" s="47"/>
      <c r="I15" s="33"/>
      <c r="J15" s="33"/>
    </row>
    <row r="16" spans="2:11" ht="9.75">
      <c r="B16" s="29" t="s">
        <v>72</v>
      </c>
      <c r="C16" s="30" t="s">
        <v>73</v>
      </c>
      <c r="D16" s="31" t="s">
        <v>74</v>
      </c>
      <c r="E16" s="30" t="s">
        <v>75</v>
      </c>
      <c r="F16" s="30" t="s">
        <v>76</v>
      </c>
      <c r="G16" s="36" t="s">
        <v>77</v>
      </c>
      <c r="H16" s="30" t="s">
        <v>78</v>
      </c>
      <c r="I16" s="32" t="s">
        <v>79</v>
      </c>
      <c r="J16" s="32" t="s">
        <v>80</v>
      </c>
      <c r="K16" s="35" t="s">
        <v>81</v>
      </c>
    </row>
    <row r="17" spans="1:11" ht="9.75">
      <c r="A17" s="56"/>
      <c r="B17" s="49" t="str">
        <f>Stats!B$6</f>
        <v>FtrE2</v>
      </c>
      <c r="C17" s="50">
        <f>Stats!C$6</f>
        <v>2</v>
      </c>
      <c r="D17" s="51">
        <f>Stats!D$6</f>
        <v>2</v>
      </c>
      <c r="E17" s="50">
        <f>Stats!E$6</f>
        <v>19</v>
      </c>
      <c r="F17" s="50" t="str">
        <f>Stats!F$6</f>
        <v>2d10+2</v>
      </c>
      <c r="G17" s="50" t="str">
        <f>Stats!G$6</f>
        <v>+4/2/-1</v>
      </c>
      <c r="H17" s="50">
        <f>Stats!H$6</f>
        <v>20</v>
      </c>
      <c r="I17" s="41" t="str">
        <f>Stats!I$6</f>
        <v>longsword +4 (1d8+2), bow +4 (1d8+0)</v>
      </c>
      <c r="J17" s="52" t="str">
        <f>Stats!J$6</f>
        <v>expertise, dodge</v>
      </c>
      <c r="K17" s="53">
        <f>TRUNC(DICEAVG(F17))</f>
        <v>13</v>
      </c>
    </row>
    <row r="18" spans="1:11" ht="9.75">
      <c r="A18" s="56"/>
      <c r="B18" s="49" t="str">
        <f>Stats!B$20</f>
        <v>FtrP2</v>
      </c>
      <c r="C18" s="50">
        <f>Stats!C$20</f>
        <v>2</v>
      </c>
      <c r="D18" s="51">
        <f>Stats!D$20</f>
        <v>1</v>
      </c>
      <c r="E18" s="50">
        <f>Stats!E$20</f>
        <v>17</v>
      </c>
      <c r="F18" s="50" t="str">
        <f>Stats!F$20</f>
        <v>2d10+4</v>
      </c>
      <c r="G18" s="50" t="str">
        <f>Stats!G$20</f>
        <v>+5/1/1</v>
      </c>
      <c r="H18" s="50">
        <f>Stats!H$20</f>
        <v>20</v>
      </c>
      <c r="I18" s="41" t="str">
        <f>Stats!I$20</f>
        <v>greataxe +4 (1d12+3), bow +3 (1d8+0)</v>
      </c>
      <c r="J18" s="52" t="str">
        <f>Stats!J$20</f>
        <v>power atk, armor prof (heavy)</v>
      </c>
      <c r="K18" s="53">
        <f>TRUNC(DICEAVG(F18))</f>
        <v>15</v>
      </c>
    </row>
    <row r="19" spans="1:11" ht="9.75">
      <c r="A19" s="56"/>
      <c r="B19" s="49" t="str">
        <f>Stats!B$34</f>
        <v>Rog2</v>
      </c>
      <c r="C19" s="50">
        <f>Stats!C$34</f>
        <v>2</v>
      </c>
      <c r="D19" s="51">
        <f>Stats!D$34</f>
        <v>2</v>
      </c>
      <c r="E19" s="50">
        <f>Stats!E$34</f>
        <v>15</v>
      </c>
      <c r="F19" s="50" t="str">
        <f>Stats!F$34</f>
        <v>2d6+2</v>
      </c>
      <c r="G19" s="50" t="str">
        <f>Stats!G$34</f>
        <v>+1/5/0</v>
      </c>
      <c r="H19" s="50">
        <f>Stats!H$34</f>
        <v>30</v>
      </c>
      <c r="I19" s="41" t="str">
        <f>Stats!I$34</f>
        <v>mace +2 (1d6+1), bow +3 (1d8+0)</v>
      </c>
      <c r="J19" s="52" t="str">
        <f>Stats!J$34</f>
        <v>point blank shot, sk (srch)</v>
      </c>
      <c r="K19" s="53">
        <f>TRUNC(DICEAVG(F19))</f>
        <v>9</v>
      </c>
    </row>
    <row r="20" spans="1:11" ht="9.75">
      <c r="A20" s="56"/>
      <c r="B20" s="49" t="str">
        <f>Stats!B$48</f>
        <v>Wiz2</v>
      </c>
      <c r="C20" s="50">
        <f>Stats!C$48</f>
        <v>2</v>
      </c>
      <c r="D20" s="51">
        <f>Stats!D$48</f>
        <v>2</v>
      </c>
      <c r="E20" s="50">
        <f>Stats!E$48</f>
        <v>12</v>
      </c>
      <c r="F20" s="50" t="str">
        <f>Stats!F$48</f>
        <v>2d4+2</v>
      </c>
      <c r="G20" s="50" t="str">
        <f>Stats!G$48</f>
        <v>+1/2/4</v>
      </c>
      <c r="H20" s="50">
        <f>Stats!H$48</f>
        <v>30</v>
      </c>
      <c r="I20" s="41" t="str">
        <f>Stats!I$48</f>
        <v>staff +1 (1d6+0), sling +3 (1d3+0)</v>
      </c>
      <c r="J20" s="52" t="str">
        <f>Stats!J$48</f>
        <v>spells, minor scroll; scribe scroll</v>
      </c>
      <c r="K20" s="53">
        <f>TRUNC(DICEAVG(F20))</f>
        <v>7</v>
      </c>
    </row>
    <row r="21" ht="9.75">
      <c r="K21" s="54">
        <f>SUM(K17:K20)</f>
        <v>44</v>
      </c>
    </row>
    <row r="22" spans="2:11" ht="18.75">
      <c r="B22" s="55" t="str">
        <f>CONCATENATE("Wizard Spells (DC ",10+Abilities!E$16,"+level; cast ",Spells!K$6,"): ",Known!B$16)</f>
        <v>Wizard Spells (DC 12+level; cast 4/5): 1st -- magic missile, mage armor; 0th -- detect magic, read magic, arcane mark, prestidigitation, light</v>
      </c>
      <c r="C22" s="55"/>
      <c r="D22" s="55"/>
      <c r="E22" s="55"/>
      <c r="F22" s="55"/>
      <c r="G22" s="55"/>
      <c r="H22" s="55"/>
      <c r="I22" s="55"/>
      <c r="J22" s="55"/>
      <c r="K22" s="54"/>
    </row>
    <row r="25" spans="2:10" ht="11.25">
      <c r="B25" s="46" t="s">
        <v>90</v>
      </c>
      <c r="C25" s="47"/>
      <c r="D25" s="48"/>
      <c r="E25" s="47"/>
      <c r="F25" s="47"/>
      <c r="G25" s="47"/>
      <c r="H25" s="47"/>
      <c r="I25" s="33"/>
      <c r="J25" s="33"/>
    </row>
    <row r="26" spans="2:11" ht="9.75">
      <c r="B26" s="29" t="s">
        <v>72</v>
      </c>
      <c r="C26" s="30" t="s">
        <v>73</v>
      </c>
      <c r="D26" s="31" t="s">
        <v>74</v>
      </c>
      <c r="E26" s="30" t="s">
        <v>75</v>
      </c>
      <c r="F26" s="30" t="s">
        <v>76</v>
      </c>
      <c r="G26" s="36" t="s">
        <v>77</v>
      </c>
      <c r="H26" s="30" t="s">
        <v>78</v>
      </c>
      <c r="I26" s="32" t="s">
        <v>79</v>
      </c>
      <c r="J26" s="32" t="s">
        <v>80</v>
      </c>
      <c r="K26" s="35" t="s">
        <v>81</v>
      </c>
    </row>
    <row r="27" spans="2:11" ht="9.75">
      <c r="B27" s="49" t="str">
        <f>Stats!B$7</f>
        <v>FtrE3</v>
      </c>
      <c r="C27" s="50">
        <f>Stats!C$7</f>
        <v>3</v>
      </c>
      <c r="D27" s="51">
        <f>Stats!D$7</f>
        <v>2</v>
      </c>
      <c r="E27" s="50">
        <f>Stats!E$7</f>
        <v>21</v>
      </c>
      <c r="F27" s="50" t="str">
        <f>Stats!F$7</f>
        <v>3d10+3</v>
      </c>
      <c r="G27" s="50" t="str">
        <f>Stats!G$7</f>
        <v>+4/3/0</v>
      </c>
      <c r="H27" s="50">
        <f>Stats!H$7</f>
        <v>20</v>
      </c>
      <c r="I27" s="41" t="str">
        <f>Stats!I$7</f>
        <v>longsword +5 (1d8+2), bow +5 (1d8+0)</v>
      </c>
      <c r="J27" s="52" t="str">
        <f>Stats!J$7</f>
        <v>expertise, dodge, mobility</v>
      </c>
      <c r="K27" s="53">
        <f>TRUNC(DICEAVG(F27))</f>
        <v>19</v>
      </c>
    </row>
    <row r="28" spans="2:11" ht="18.75">
      <c r="B28" s="49" t="str">
        <f>Stats!B$21</f>
        <v>FtrP3</v>
      </c>
      <c r="C28" s="50">
        <f>Stats!C$21</f>
        <v>3</v>
      </c>
      <c r="D28" s="51">
        <f>Stats!D$21</f>
        <v>1</v>
      </c>
      <c r="E28" s="50">
        <f>Stats!E$21</f>
        <v>19</v>
      </c>
      <c r="F28" s="50" t="str">
        <f>Stats!F$21</f>
        <v>3d10+6</v>
      </c>
      <c r="G28" s="50" t="str">
        <f>Stats!G$21</f>
        <v>+5/2/2</v>
      </c>
      <c r="H28" s="50">
        <f>Stats!H$21</f>
        <v>20</v>
      </c>
      <c r="I28" s="41" t="str">
        <f>Stats!I$21</f>
        <v>greataxe +6 (1d12+3), bow +4 (1d8+0)</v>
      </c>
      <c r="J28" s="52" t="str">
        <f>Stats!J$21</f>
        <v>power atk, armor prof (heavy), weapon focus</v>
      </c>
      <c r="K28" s="53">
        <f>TRUNC(DICEAVG(F28))</f>
        <v>22</v>
      </c>
    </row>
    <row r="29" spans="2:11" ht="18.75">
      <c r="B29" s="49" t="str">
        <f>Stats!B$35</f>
        <v>Rog3</v>
      </c>
      <c r="C29" s="50">
        <f>Stats!C$35</f>
        <v>3</v>
      </c>
      <c r="D29" s="51">
        <f>Stats!D$35</f>
        <v>2</v>
      </c>
      <c r="E29" s="50">
        <f>Stats!E$35</f>
        <v>17</v>
      </c>
      <c r="F29" s="50" t="str">
        <f>Stats!F$35</f>
        <v>3d6+3</v>
      </c>
      <c r="G29" s="50" t="str">
        <f>Stats!G$35</f>
        <v>+2/5/1</v>
      </c>
      <c r="H29" s="50">
        <f>Stats!H$35</f>
        <v>30</v>
      </c>
      <c r="I29" s="41" t="str">
        <f>Stats!I$35</f>
        <v>mace +3 (1d6+1), bow +4 (1d8+0)</v>
      </c>
      <c r="J29" s="52" t="str">
        <f>Stats!J$35</f>
        <v>point blank shot, sk (srch), sneak atk (2d6)</v>
      </c>
      <c r="K29" s="53">
        <f>TRUNC(DICEAVG(F29))</f>
        <v>13</v>
      </c>
    </row>
    <row r="30" spans="2:11" ht="9.75">
      <c r="B30" s="49" t="str">
        <f>Stats!B$49</f>
        <v>Wiz3</v>
      </c>
      <c r="C30" s="50">
        <f>Stats!C$49</f>
        <v>3</v>
      </c>
      <c r="D30" s="51">
        <f>Stats!D$49</f>
        <v>2</v>
      </c>
      <c r="E30" s="50">
        <f>Stats!E$49</f>
        <v>13</v>
      </c>
      <c r="F30" s="50" t="str">
        <f>Stats!F$49</f>
        <v>3d4+3</v>
      </c>
      <c r="G30" s="50" t="str">
        <f>Stats!G$49</f>
        <v>+3/4/5</v>
      </c>
      <c r="H30" s="50">
        <f>Stats!H$49</f>
        <v>30</v>
      </c>
      <c r="I30" s="41" t="str">
        <f>Stats!I$49</f>
        <v>staff +1 (1d6+0), sling +3 (1d3+0)</v>
      </c>
      <c r="J30" s="52" t="str">
        <f>Stats!J$49</f>
        <v>spells, minor scroll; scribe scroll, sk (heal)</v>
      </c>
      <c r="K30" s="53">
        <f>TRUNC(DICEAVG(F30))</f>
        <v>10</v>
      </c>
    </row>
    <row r="31" ht="9.75">
      <c r="K31" s="54">
        <f>SUM(K27:K30)</f>
        <v>64</v>
      </c>
    </row>
    <row r="32" spans="2:10" ht="18.75">
      <c r="B32" s="55" t="str">
        <f>CONCATENATE("Wizard Spells (DC ",10+Abilities!E$16,"+level; cast ",Spells!K$7,"): ",Known!B$17)</f>
        <v>Wizard Spells (DC 12+level; cast 5/5): 1st -- magic missile, mage armor, shield; 0th -- detect magic, read magic, arcane mark, prestidigitation, light</v>
      </c>
      <c r="C32" s="55"/>
      <c r="D32" s="55"/>
      <c r="E32" s="55"/>
      <c r="F32" s="55"/>
      <c r="G32" s="55"/>
      <c r="H32" s="55"/>
      <c r="I32" s="55"/>
      <c r="J32" s="55"/>
    </row>
    <row r="35" spans="2:10" ht="11.25">
      <c r="B35" s="46" t="s">
        <v>91</v>
      </c>
      <c r="C35" s="47"/>
      <c r="D35" s="48"/>
      <c r="E35" s="47"/>
      <c r="F35" s="47"/>
      <c r="G35" s="47"/>
      <c r="H35" s="47"/>
      <c r="I35" s="33"/>
      <c r="J35" s="33"/>
    </row>
    <row r="36" spans="2:11" ht="9.75">
      <c r="B36" s="29" t="s">
        <v>72</v>
      </c>
      <c r="C36" s="30" t="s">
        <v>73</v>
      </c>
      <c r="D36" s="31" t="s">
        <v>74</v>
      </c>
      <c r="E36" s="30" t="s">
        <v>75</v>
      </c>
      <c r="F36" s="30" t="s">
        <v>76</v>
      </c>
      <c r="G36" s="36" t="s">
        <v>77</v>
      </c>
      <c r="H36" s="30" t="s">
        <v>78</v>
      </c>
      <c r="I36" s="32" t="s">
        <v>79</v>
      </c>
      <c r="J36" s="32" t="s">
        <v>80</v>
      </c>
      <c r="K36" s="35" t="s">
        <v>81</v>
      </c>
    </row>
    <row r="37" spans="2:11" ht="9.75">
      <c r="B37" s="49" t="str">
        <f>Stats!B$8</f>
        <v>FtrE4</v>
      </c>
      <c r="C37" s="50">
        <f>Stats!C$8</f>
        <v>4</v>
      </c>
      <c r="D37" s="51">
        <f>Stats!D$8</f>
        <v>2</v>
      </c>
      <c r="E37" s="50">
        <f>Stats!E$8</f>
        <v>21</v>
      </c>
      <c r="F37" s="50" t="str">
        <f>Stats!F$8</f>
        <v>4d10+4</v>
      </c>
      <c r="G37" s="50" t="str">
        <f>Stats!G$8</f>
        <v>+5/3/0</v>
      </c>
      <c r="H37" s="50">
        <f>Stats!H$8</f>
        <v>20</v>
      </c>
      <c r="I37" s="41" t="str">
        <f>Stats!I$8</f>
        <v>longsword +7 (1d8+3), bow +6 (1d8+0)</v>
      </c>
      <c r="J37" s="52" t="str">
        <f>Stats!J$8</f>
        <v>expertise, dodge, mobility, spring atk</v>
      </c>
      <c r="K37" s="53">
        <f>TRUNC(DICEAVG(F37))</f>
        <v>26</v>
      </c>
    </row>
    <row r="38" spans="2:11" ht="18.75">
      <c r="B38" s="49" t="str">
        <f>Stats!B$22</f>
        <v>FtrP4</v>
      </c>
      <c r="C38" s="50">
        <f>Stats!C$22</f>
        <v>4</v>
      </c>
      <c r="D38" s="51">
        <f>Stats!D$22</f>
        <v>1</v>
      </c>
      <c r="E38" s="50">
        <f>Stats!E$22</f>
        <v>19</v>
      </c>
      <c r="F38" s="50" t="str">
        <f>Stats!F$22</f>
        <v>4d10+8</v>
      </c>
      <c r="G38" s="50" t="str">
        <f>Stats!G$22</f>
        <v>+6/2/2</v>
      </c>
      <c r="H38" s="50">
        <f>Stats!H$22</f>
        <v>20</v>
      </c>
      <c r="I38" s="41" t="str">
        <f>Stats!I$22</f>
        <v>greataxe +8 (1d12+6), bow +5 (1d8+0)</v>
      </c>
      <c r="J38" s="52" t="str">
        <f>Stats!J$22</f>
        <v>power atk, armor prof (heavy), weapon focus, weapon spec</v>
      </c>
      <c r="K38" s="53">
        <f>TRUNC(DICEAVG(F38))</f>
        <v>30</v>
      </c>
    </row>
    <row r="39" spans="2:11" ht="18.75">
      <c r="B39" s="49" t="str">
        <f>Stats!B$36</f>
        <v>Rog4</v>
      </c>
      <c r="C39" s="50">
        <f>Stats!C$36</f>
        <v>4</v>
      </c>
      <c r="D39" s="51">
        <f>Stats!D$36</f>
        <v>2</v>
      </c>
      <c r="E39" s="50">
        <f>Stats!E$36</f>
        <v>17</v>
      </c>
      <c r="F39" s="50" t="str">
        <f>Stats!F$36</f>
        <v>4d6+4</v>
      </c>
      <c r="G39" s="50" t="str">
        <f>Stats!G$36</f>
        <v>+2/6/1</v>
      </c>
      <c r="H39" s="50">
        <f>Stats!H$36</f>
        <v>30</v>
      </c>
      <c r="I39" s="41" t="str">
        <f>Stats!I$36</f>
        <v>mace +4 (1d6+1), bow +6 (1d8+1)</v>
      </c>
      <c r="J39" s="52" t="str">
        <f>Stats!J$36</f>
        <v>point blank shot, sk (srch), sneak atk (2d6)</v>
      </c>
      <c r="K39" s="53">
        <f>TRUNC(DICEAVG(F39))</f>
        <v>18</v>
      </c>
    </row>
    <row r="40" spans="2:11" ht="18.75">
      <c r="B40" s="49" t="str">
        <f>Stats!B$50</f>
        <v>Wiz4</v>
      </c>
      <c r="C40" s="50">
        <f>Stats!C$50</f>
        <v>4</v>
      </c>
      <c r="D40" s="51">
        <f>Stats!D$50</f>
        <v>2</v>
      </c>
      <c r="E40" s="50">
        <f>Stats!E$50</f>
        <v>13</v>
      </c>
      <c r="F40" s="50" t="str">
        <f>Stats!F$50</f>
        <v>4d4+4</v>
      </c>
      <c r="G40" s="50" t="str">
        <f>Stats!G$50</f>
        <v>+3/4/6</v>
      </c>
      <c r="H40" s="50">
        <f>Stats!H$50</f>
        <v>30</v>
      </c>
      <c r="I40" s="41" t="str">
        <f>Stats!I$50</f>
        <v>staff +2 (1d6+0), sling +4 (1d3+0)</v>
      </c>
      <c r="J40" s="52" t="str">
        <f>Stats!J$50</f>
        <v>spells, medium scroll, wand of magic missile; scribe scroll, sk (heal)</v>
      </c>
      <c r="K40" s="53">
        <f>TRUNC(DICEAVG(F40))</f>
        <v>14</v>
      </c>
    </row>
    <row r="41" ht="9.75">
      <c r="K41" s="54">
        <f>SUM(K37:K40)</f>
        <v>88</v>
      </c>
    </row>
    <row r="42" spans="2:10" ht="18.75">
      <c r="B42" s="55" t="str">
        <f>CONCATENATE("Wizard Spells (DC ",10+Abilities!E$16,"+level; cast ",Spells!K$8,"): ",Known!B$18)</f>
        <v>Wizard Spells (DC 12+level; cast 3/6/6): 2nd -- invisibility; 1st -- magic missile, mage armor, shield; 0th -- detect magic, read magic, arcane mark, prestidigitation, light, ghost sound</v>
      </c>
      <c r="C42" s="55"/>
      <c r="D42" s="55"/>
      <c r="E42" s="55"/>
      <c r="F42" s="55"/>
      <c r="G42" s="55"/>
      <c r="H42" s="55"/>
      <c r="I42" s="55"/>
      <c r="J42" s="55"/>
    </row>
    <row r="45" spans="2:10" ht="11.25">
      <c r="B45" s="46" t="s">
        <v>92</v>
      </c>
      <c r="C45" s="47"/>
      <c r="D45" s="48"/>
      <c r="E45" s="47"/>
      <c r="F45" s="47"/>
      <c r="G45" s="47"/>
      <c r="H45" s="47"/>
      <c r="I45" s="33"/>
      <c r="J45" s="33"/>
    </row>
    <row r="46" spans="2:11" ht="9.75">
      <c r="B46" s="29" t="s">
        <v>72</v>
      </c>
      <c r="C46" s="30" t="s">
        <v>73</v>
      </c>
      <c r="D46" s="31" t="s">
        <v>74</v>
      </c>
      <c r="E46" s="30" t="s">
        <v>75</v>
      </c>
      <c r="F46" s="30" t="s">
        <v>76</v>
      </c>
      <c r="G46" s="36" t="s">
        <v>77</v>
      </c>
      <c r="H46" s="30" t="s">
        <v>78</v>
      </c>
      <c r="I46" s="32" t="s">
        <v>79</v>
      </c>
      <c r="J46" s="32" t="s">
        <v>80</v>
      </c>
      <c r="K46" s="35" t="s">
        <v>81</v>
      </c>
    </row>
    <row r="47" spans="2:11" ht="18.75">
      <c r="B47" s="49" t="str">
        <f>Stats!B$9</f>
        <v>FtrE5</v>
      </c>
      <c r="C47" s="50">
        <f>Stats!C$9</f>
        <v>5</v>
      </c>
      <c r="D47" s="51">
        <f>Stats!D$9</f>
        <v>2</v>
      </c>
      <c r="E47" s="50">
        <f>Stats!E$9</f>
        <v>22</v>
      </c>
      <c r="F47" s="50" t="str">
        <f>Stats!F$9</f>
        <v>5d10+5</v>
      </c>
      <c r="G47" s="50" t="str">
        <f>Stats!G$9</f>
        <v>+5/3/0</v>
      </c>
      <c r="H47" s="50">
        <f>Stats!H$9</f>
        <v>20</v>
      </c>
      <c r="I47" s="41" t="str">
        <f>Stats!I$9</f>
        <v>longsword +8 (1d8+3), bow +7 (1d8+0)</v>
      </c>
      <c r="J47" s="52" t="str">
        <f>Stats!J$9</f>
        <v>expertise, dodge, mobility, spring atk, whirlwind atk</v>
      </c>
      <c r="K47" s="53">
        <f>TRUNC(DICEAVG(F47))</f>
        <v>32</v>
      </c>
    </row>
    <row r="48" spans="2:11" ht="18.75">
      <c r="B48" s="49" t="str">
        <f>Stats!B$23</f>
        <v>FtrP5</v>
      </c>
      <c r="C48" s="50">
        <f>Stats!C$23</f>
        <v>5</v>
      </c>
      <c r="D48" s="51">
        <f>Stats!D$23</f>
        <v>1</v>
      </c>
      <c r="E48" s="50">
        <f>Stats!E$23</f>
        <v>20</v>
      </c>
      <c r="F48" s="50" t="str">
        <f>Stats!F$23</f>
        <v>5d10+10</v>
      </c>
      <c r="G48" s="50" t="str">
        <f>Stats!G$23</f>
        <v>+6/2/2</v>
      </c>
      <c r="H48" s="50">
        <f>Stats!H$23</f>
        <v>20</v>
      </c>
      <c r="I48" s="41" t="str">
        <f>Stats!I$23</f>
        <v>greataxe +9 (1d12+6), bow +6 (1d8+0)</v>
      </c>
      <c r="J48" s="52" t="str">
        <f>Stats!J$23</f>
        <v>power atk, armor prof (heavy), weapon focus, weapon spec, dodge</v>
      </c>
      <c r="K48" s="53">
        <f>TRUNC(DICEAVG(F48))</f>
        <v>37</v>
      </c>
    </row>
    <row r="49" spans="2:11" ht="18.75">
      <c r="B49" s="49" t="str">
        <f>Stats!B$37</f>
        <v>Rog5</v>
      </c>
      <c r="C49" s="50">
        <f>Stats!C$37</f>
        <v>5</v>
      </c>
      <c r="D49" s="51">
        <f>Stats!D$37</f>
        <v>6</v>
      </c>
      <c r="E49" s="50">
        <f>Stats!E$37</f>
        <v>18</v>
      </c>
      <c r="F49" s="50" t="str">
        <f>Stats!F$37</f>
        <v>5d6+5</v>
      </c>
      <c r="G49" s="50" t="str">
        <f>Stats!G$37</f>
        <v>+2/6/1</v>
      </c>
      <c r="H49" s="50">
        <f>Stats!H$37</f>
        <v>30</v>
      </c>
      <c r="I49" s="41" t="str">
        <f>Stats!I$37</f>
        <v>mace +4 (1d6+1), bow +6 (1d8+1)</v>
      </c>
      <c r="J49" s="52" t="str">
        <f>Stats!J$37</f>
        <v>point blank shot, sk (srch), sneak atk (2d6), imp init</v>
      </c>
      <c r="K49" s="53">
        <f>TRUNC(DICEAVG(F49))</f>
        <v>22</v>
      </c>
    </row>
    <row r="50" spans="2:11" ht="18.75">
      <c r="B50" s="49" t="str">
        <f>Stats!B$51</f>
        <v>Wiz5</v>
      </c>
      <c r="C50" s="50">
        <f>Stats!C$51</f>
        <v>5</v>
      </c>
      <c r="D50" s="51">
        <f>Stats!D$51</f>
        <v>2</v>
      </c>
      <c r="E50" s="50">
        <f>Stats!E$51</f>
        <v>13</v>
      </c>
      <c r="F50" s="50" t="str">
        <f>Stats!F$51</f>
        <v>5d4+5</v>
      </c>
      <c r="G50" s="50" t="str">
        <f>Stats!G$51</f>
        <v>+4/5/7</v>
      </c>
      <c r="H50" s="50">
        <f>Stats!H$51</f>
        <v>30</v>
      </c>
      <c r="I50" s="41" t="str">
        <f>Stats!I$51</f>
        <v>staff +2 (1d6+0), sling +4 (1d3+0)</v>
      </c>
      <c r="J50" s="52" t="str">
        <f>Stats!J$51</f>
        <v>spells, medium scroll, wand of magic missile; scribe scroll, sk (heal), craft wand</v>
      </c>
      <c r="K50" s="53">
        <f>TRUNC(DICEAVG(F50))</f>
        <v>17</v>
      </c>
    </row>
    <row r="51" ht="9.75">
      <c r="K51" s="54">
        <f>SUM(K47:K50)</f>
        <v>108</v>
      </c>
    </row>
    <row r="52" spans="2:10" ht="18.75">
      <c r="B52" s="55" t="str">
        <f>CONCATENATE("Wizard Spells (DC ",10+Abilities!E$16,"+level; cast ",Spells!K$9,"): ",Known!B$19)</f>
        <v>Wizard Spells (DC 12+level; cast 4/6/6): 2nd -- invisibility, scorching ray; 1st -- magic missile, mage armor, shield, identify; 0th -- detect magic, read magic, arcane mark, prestidigitation, light, ghost sound</v>
      </c>
      <c r="C52" s="55"/>
      <c r="D52" s="55"/>
      <c r="E52" s="55"/>
      <c r="F52" s="55"/>
      <c r="G52" s="55"/>
      <c r="H52" s="55"/>
      <c r="I52" s="55"/>
      <c r="J52" s="55"/>
    </row>
    <row r="55" spans="2:10" ht="11.25">
      <c r="B55" s="46" t="s">
        <v>93</v>
      </c>
      <c r="C55" s="47"/>
      <c r="D55" s="48"/>
      <c r="E55" s="47"/>
      <c r="F55" s="47"/>
      <c r="G55" s="47"/>
      <c r="H55" s="47"/>
      <c r="I55" s="33"/>
      <c r="J55" s="33"/>
    </row>
    <row r="56" spans="2:11" ht="9.75">
      <c r="B56" s="29" t="s">
        <v>72</v>
      </c>
      <c r="C56" s="30" t="s">
        <v>73</v>
      </c>
      <c r="D56" s="31" t="s">
        <v>74</v>
      </c>
      <c r="E56" s="30" t="s">
        <v>75</v>
      </c>
      <c r="F56" s="30" t="s">
        <v>76</v>
      </c>
      <c r="G56" s="36" t="s">
        <v>77</v>
      </c>
      <c r="H56" s="30" t="s">
        <v>78</v>
      </c>
      <c r="I56" s="32" t="s">
        <v>79</v>
      </c>
      <c r="J56" s="32" t="s">
        <v>80</v>
      </c>
      <c r="K56" s="35" t="s">
        <v>81</v>
      </c>
    </row>
    <row r="57" spans="2:11" ht="18.75">
      <c r="B57" s="49" t="str">
        <f>Stats!B$10</f>
        <v>FtrE6</v>
      </c>
      <c r="C57" s="50">
        <f>Stats!C$10</f>
        <v>6</v>
      </c>
      <c r="D57" s="51">
        <f>Stats!D$10</f>
        <v>2</v>
      </c>
      <c r="E57" s="50">
        <f>Stats!E$10</f>
        <v>22</v>
      </c>
      <c r="F57" s="50" t="str">
        <f>Stats!F$10</f>
        <v>6d10+6</v>
      </c>
      <c r="G57" s="50" t="str">
        <f>Stats!G$10</f>
        <v>+6/4/1</v>
      </c>
      <c r="H57" s="50">
        <f>Stats!H$10</f>
        <v>20</v>
      </c>
      <c r="I57" s="41" t="str">
        <f>Stats!I$10</f>
        <v>longsword +10 (1d8+3), bow +9 (1d8+1)</v>
      </c>
      <c r="J57" s="52" t="str">
        <f>Stats!J$10</f>
        <v>expertise, dodge, mobility, spring atk, whirlwind atk, weapon focus</v>
      </c>
      <c r="K57" s="53">
        <f>TRUNC(DICEAVG(F57))</f>
        <v>39</v>
      </c>
    </row>
    <row r="58" spans="2:11" ht="18.75">
      <c r="B58" s="49" t="str">
        <f>Stats!B$24</f>
        <v>FtrP6</v>
      </c>
      <c r="C58" s="50">
        <f>Stats!C$24</f>
        <v>6</v>
      </c>
      <c r="D58" s="51">
        <f>Stats!D$24</f>
        <v>1</v>
      </c>
      <c r="E58" s="50">
        <f>Stats!E$24</f>
        <v>20</v>
      </c>
      <c r="F58" s="50" t="str">
        <f>Stats!F$24</f>
        <v>6d10+12</v>
      </c>
      <c r="G58" s="50" t="str">
        <f>Stats!G$24</f>
        <v>+7/3/3</v>
      </c>
      <c r="H58" s="50">
        <f>Stats!H$24</f>
        <v>20</v>
      </c>
      <c r="I58" s="41" t="str">
        <f>Stats!I$24</f>
        <v>greataxe +10 (1d12+6), bow +8 (1d8+1)</v>
      </c>
      <c r="J58" s="52" t="str">
        <f>Stats!J$24</f>
        <v>power atk, armor prof (heavy), weapon focus, weapon spec, dodge, imp crit</v>
      </c>
      <c r="K58" s="53">
        <f>TRUNC(DICEAVG(F58))</f>
        <v>45</v>
      </c>
    </row>
    <row r="59" spans="2:11" ht="18.75">
      <c r="B59" s="49" t="str">
        <f>Stats!B$38</f>
        <v>Rog6</v>
      </c>
      <c r="C59" s="50">
        <f>Stats!C$38</f>
        <v>6</v>
      </c>
      <c r="D59" s="51">
        <f>Stats!D$38</f>
        <v>6</v>
      </c>
      <c r="E59" s="50">
        <f>Stats!E$38</f>
        <v>18</v>
      </c>
      <c r="F59" s="50" t="str">
        <f>Stats!F$38</f>
        <v>6d6+6</v>
      </c>
      <c r="G59" s="50" t="str">
        <f>Stats!G$38</f>
        <v>+3/7/2</v>
      </c>
      <c r="H59" s="50">
        <f>Stats!H$38</f>
        <v>30</v>
      </c>
      <c r="I59" s="41" t="str">
        <f>Stats!I$38</f>
        <v>mace +6 (1d6+2), bow +7 (1d8+1)</v>
      </c>
      <c r="J59" s="52" t="str">
        <f>Stats!J$38</f>
        <v>point blank shot, sk (srch), sneak atk (2d6), imp init, alertness</v>
      </c>
      <c r="K59" s="53">
        <f>TRUNC(DICEAVG(F59))</f>
        <v>27</v>
      </c>
    </row>
    <row r="60" spans="2:11" ht="18.75">
      <c r="B60" s="49" t="str">
        <f>Stats!B$52</f>
        <v>Wiz6</v>
      </c>
      <c r="C60" s="50">
        <f>Stats!C$52</f>
        <v>6</v>
      </c>
      <c r="D60" s="51">
        <f>Stats!D$52</f>
        <v>2</v>
      </c>
      <c r="E60" s="50">
        <f>Stats!E$52</f>
        <v>13</v>
      </c>
      <c r="F60" s="50" t="str">
        <f>Stats!F$52</f>
        <v>6d4+6</v>
      </c>
      <c r="G60" s="50" t="str">
        <f>Stats!G$52</f>
        <v>+5/6/8</v>
      </c>
      <c r="H60" s="50">
        <f>Stats!H$52</f>
        <v>30</v>
      </c>
      <c r="I60" s="41" t="str">
        <f>Stats!I$52</f>
        <v>staff +3 (1d6+0), sling +5 (1d3+0)</v>
      </c>
      <c r="J60" s="52" t="str">
        <f>Stats!J$52</f>
        <v>spells, medium scroll, wand of acid arrow; scribe scroll, sk (heal), craft wand</v>
      </c>
      <c r="K60" s="53">
        <f>TRUNC(DICEAVG(F60))</f>
        <v>21</v>
      </c>
    </row>
    <row r="61" ht="9.75">
      <c r="K61" s="54">
        <f>SUM(K57:K60)</f>
        <v>132</v>
      </c>
    </row>
    <row r="62" spans="2:10" ht="18.75">
      <c r="B62" s="55" t="str">
        <f>CONCATENATE("Wizard Spells (DC ",10+Abilities!E$16,"+level; cast ",Spells!K$10,"): ",Known!B$20)</f>
        <v>Wizard Spells (DC 12+level; cast 2/5/7/6): 3rd -- dispel magic; 2nd -- invisibility, scorching ray; 1st -- magic missile, mage armor, shield, identify; 0th -- detect magic, read magic, arcane mark, prestidigitation, light, ghost sound, message</v>
      </c>
      <c r="C62" s="55"/>
      <c r="D62" s="55"/>
      <c r="E62" s="55"/>
      <c r="F62" s="55"/>
      <c r="G62" s="55"/>
      <c r="H62" s="55"/>
      <c r="I62" s="55"/>
      <c r="J62" s="55"/>
    </row>
    <row r="65" spans="2:10" ht="11.25">
      <c r="B65" s="46" t="s">
        <v>94</v>
      </c>
      <c r="C65" s="47"/>
      <c r="D65" s="48"/>
      <c r="E65" s="47"/>
      <c r="F65" s="47"/>
      <c r="G65" s="47"/>
      <c r="H65" s="47"/>
      <c r="I65" s="33"/>
      <c r="J65" s="33"/>
    </row>
    <row r="66" spans="2:11" ht="9.75">
      <c r="B66" s="29" t="s">
        <v>72</v>
      </c>
      <c r="C66" s="30" t="s">
        <v>73</v>
      </c>
      <c r="D66" s="31" t="s">
        <v>74</v>
      </c>
      <c r="E66" s="30" t="s">
        <v>75</v>
      </c>
      <c r="F66" s="30" t="s">
        <v>76</v>
      </c>
      <c r="G66" s="36" t="s">
        <v>77</v>
      </c>
      <c r="H66" s="30" t="s">
        <v>78</v>
      </c>
      <c r="I66" s="32" t="s">
        <v>79</v>
      </c>
      <c r="J66" s="32" t="s">
        <v>80</v>
      </c>
      <c r="K66" s="35" t="s">
        <v>81</v>
      </c>
    </row>
    <row r="67" spans="2:11" ht="18.75">
      <c r="B67" s="49" t="str">
        <f>Stats!B$11</f>
        <v>FtrE7</v>
      </c>
      <c r="C67" s="50">
        <f>Stats!C$11</f>
        <v>7</v>
      </c>
      <c r="D67" s="51">
        <f>Stats!D$11</f>
        <v>2</v>
      </c>
      <c r="E67" s="50">
        <f>Stats!E$11</f>
        <v>24</v>
      </c>
      <c r="F67" s="50" t="str">
        <f>Stats!F$11</f>
        <v>7d10+7</v>
      </c>
      <c r="G67" s="50" t="str">
        <f>Stats!G$11</f>
        <v>+6/4/1</v>
      </c>
      <c r="H67" s="50">
        <f>Stats!H$11</f>
        <v>20</v>
      </c>
      <c r="I67" s="41" t="str">
        <f>Stats!I$11</f>
        <v>longsword +11 (1d8+5), bow +10 (1d8+1)</v>
      </c>
      <c r="J67" s="52" t="str">
        <f>Stats!J$11</f>
        <v>expertise, dodge, mobility, spring atk, whirlwind atk, weapon focus, weapon spec</v>
      </c>
      <c r="K67" s="53">
        <f>TRUNC(DICEAVG(F67))</f>
        <v>45</v>
      </c>
    </row>
    <row r="68" spans="2:11" ht="27.75">
      <c r="B68" s="49" t="str">
        <f>Stats!B$25</f>
        <v>FtrP7</v>
      </c>
      <c r="C68" s="50">
        <f>Stats!C$25</f>
        <v>7</v>
      </c>
      <c r="D68" s="51">
        <f>Stats!D$25</f>
        <v>1</v>
      </c>
      <c r="E68" s="50">
        <f>Stats!E$25</f>
        <v>22</v>
      </c>
      <c r="F68" s="50" t="str">
        <f>Stats!F$25</f>
        <v>7d10+14</v>
      </c>
      <c r="G68" s="50" t="str">
        <f>Stats!G$25</f>
        <v>+7/3/3</v>
      </c>
      <c r="H68" s="50">
        <f>Stats!H$25</f>
        <v>20</v>
      </c>
      <c r="I68" s="41" t="str">
        <f>Stats!I$25</f>
        <v>greataxe +11 (1d12+6), bow +9 (1d8+1)</v>
      </c>
      <c r="J68" s="52" t="str">
        <f>Stats!J$25</f>
        <v>power atk, armor prof (heavy), weapon focus, weapon spec, dodge, imp crit, cleave</v>
      </c>
      <c r="K68" s="53">
        <f>TRUNC(DICEAVG(F68))</f>
        <v>52</v>
      </c>
    </row>
    <row r="69" spans="2:11" ht="18.75">
      <c r="B69" s="49" t="str">
        <f>Stats!B$39</f>
        <v>Rog7</v>
      </c>
      <c r="C69" s="50">
        <f>Stats!C$39</f>
        <v>7</v>
      </c>
      <c r="D69" s="51">
        <f>Stats!D$39</f>
        <v>6</v>
      </c>
      <c r="E69" s="50">
        <f>Stats!E$39</f>
        <v>20</v>
      </c>
      <c r="F69" s="50" t="str">
        <f>Stats!F$39</f>
        <v>7d6+7</v>
      </c>
      <c r="G69" s="50" t="str">
        <f>Stats!G$39</f>
        <v>+3/7/2</v>
      </c>
      <c r="H69" s="50">
        <f>Stats!H$39</f>
        <v>30</v>
      </c>
      <c r="I69" s="41" t="str">
        <f>Stats!I$39</f>
        <v>mace +7 (1d6+2), bow +8 (1d8+1)</v>
      </c>
      <c r="J69" s="52" t="str">
        <f>Stats!J$39</f>
        <v>point blank shot, sk (srch), sneak atk (2d6), imp init, alertness, rapid shot</v>
      </c>
      <c r="K69" s="53">
        <f>TRUNC(DICEAVG(F69))</f>
        <v>31</v>
      </c>
    </row>
    <row r="70" spans="2:11" ht="27.75">
      <c r="B70" s="49" t="str">
        <f>Stats!B$53</f>
        <v>Wiz7</v>
      </c>
      <c r="C70" s="50">
        <f>Stats!C$53</f>
        <v>7</v>
      </c>
      <c r="D70" s="51">
        <f>Stats!D$53</f>
        <v>2</v>
      </c>
      <c r="E70" s="50">
        <f>Stats!E$53</f>
        <v>14</v>
      </c>
      <c r="F70" s="50" t="str">
        <f>Stats!F$53</f>
        <v>7d4+7</v>
      </c>
      <c r="G70" s="50" t="str">
        <f>Stats!G$53</f>
        <v>+6/7/9</v>
      </c>
      <c r="H70" s="50">
        <f>Stats!H$53</f>
        <v>30</v>
      </c>
      <c r="I70" s="41" t="str">
        <f>Stats!I$53</f>
        <v>staff +3 (1d6+0), sling +5 (1d3+0)</v>
      </c>
      <c r="J70" s="52" t="str">
        <f>Stats!J$53</f>
        <v>spells, medium scroll, wand of acid arrow; scribe scroll, sk (heal), craft wand, sk (conc)</v>
      </c>
      <c r="K70" s="53">
        <f>TRUNC(DICEAVG(F70))</f>
        <v>24</v>
      </c>
    </row>
    <row r="71" ht="9.75">
      <c r="K71" s="54">
        <f>SUM(K67:K70)</f>
        <v>152</v>
      </c>
    </row>
    <row r="72" spans="2:10" ht="18.75">
      <c r="B72" s="55" t="str">
        <f>CONCATENATE("Wizard Spells (DC ",10+Abilities!E$16,"+level; cast ",Spells!K$11,"): ",Known!B$21)</f>
        <v>Wizard Spells (DC 12+level; cast 3/6/7/6): 3rd -- dispel magic, fireball; 2nd -- invisibility, scorching ray, see invisibility; 1st -- magic missile, mage armor, shield, identify, sleep; 0th -- detect magic, read magic, arcane mark, prestidigitation, light, ghost sound, message</v>
      </c>
      <c r="C72" s="55"/>
      <c r="D72" s="55"/>
      <c r="E72" s="55"/>
      <c r="F72" s="55"/>
      <c r="G72" s="55"/>
      <c r="H72" s="55"/>
      <c r="I72" s="55"/>
      <c r="J72" s="55"/>
    </row>
    <row r="75" spans="2:10" ht="11.25">
      <c r="B75" s="46" t="s">
        <v>95</v>
      </c>
      <c r="C75" s="47"/>
      <c r="D75" s="48"/>
      <c r="E75" s="47"/>
      <c r="F75" s="47"/>
      <c r="G75" s="47"/>
      <c r="H75" s="47"/>
      <c r="I75" s="33"/>
      <c r="J75" s="33"/>
    </row>
    <row r="76" spans="2:11" ht="9.75">
      <c r="B76" s="29" t="s">
        <v>72</v>
      </c>
      <c r="C76" s="30" t="s">
        <v>73</v>
      </c>
      <c r="D76" s="31" t="s">
        <v>74</v>
      </c>
      <c r="E76" s="30" t="s">
        <v>75</v>
      </c>
      <c r="F76" s="30" t="s">
        <v>76</v>
      </c>
      <c r="G76" s="36" t="s">
        <v>77</v>
      </c>
      <c r="H76" s="30" t="s">
        <v>78</v>
      </c>
      <c r="I76" s="32" t="s">
        <v>79</v>
      </c>
      <c r="J76" s="32" t="s">
        <v>80</v>
      </c>
      <c r="K76" s="35" t="s">
        <v>81</v>
      </c>
    </row>
    <row r="77" spans="2:11" ht="27.75">
      <c r="B77" s="49" t="str">
        <f>Stats!B$12</f>
        <v>FtrE8</v>
      </c>
      <c r="C77" s="50">
        <f>Stats!C$12</f>
        <v>8</v>
      </c>
      <c r="D77" s="51">
        <f>Stats!D$12</f>
        <v>2</v>
      </c>
      <c r="E77" s="50">
        <f>Stats!E$12</f>
        <v>24</v>
      </c>
      <c r="F77" s="50" t="str">
        <f>Stats!F$12</f>
        <v>8d10+8</v>
      </c>
      <c r="G77" s="50" t="str">
        <f>Stats!G$12</f>
        <v>+7/4/1</v>
      </c>
      <c r="H77" s="50">
        <f>Stats!H$12</f>
        <v>20</v>
      </c>
      <c r="I77" s="41" t="str">
        <f>Stats!I$12</f>
        <v>longsword +13 (1d8+6), bow +11 (1d8+1)</v>
      </c>
      <c r="J77" s="52" t="str">
        <f>Stats!J$12</f>
        <v>expertise, dodge, mobility, spring atk, whirlwind atk, weapon focus, weapon spec, imp crit</v>
      </c>
      <c r="K77" s="53">
        <f>TRUNC(DICEAVG(F77))</f>
        <v>52</v>
      </c>
    </row>
    <row r="78" spans="2:11" ht="27.75">
      <c r="B78" s="49" t="str">
        <f>Stats!B$26</f>
        <v>FtrP8</v>
      </c>
      <c r="C78" s="50">
        <f>Stats!C$26</f>
        <v>8</v>
      </c>
      <c r="D78" s="51">
        <f>Stats!D$26</f>
        <v>1</v>
      </c>
      <c r="E78" s="50">
        <f>Stats!E$26</f>
        <v>22</v>
      </c>
      <c r="F78" s="50" t="str">
        <f>Stats!F$26</f>
        <v>8d10+16</v>
      </c>
      <c r="G78" s="50" t="str">
        <f>Stats!G$26</f>
        <v>+8/3/3</v>
      </c>
      <c r="H78" s="50">
        <f>Stats!H$26</f>
        <v>20</v>
      </c>
      <c r="I78" s="41" t="str">
        <f>Stats!I$26</f>
        <v>greataxe +13 (1d12+7), bow +10 (1d8+1)</v>
      </c>
      <c r="J78" s="52" t="str">
        <f>Stats!J$26</f>
        <v>power atk, armor prof (heavy), weapon focus, weapon spec, dodge, imp crit, cleave, great cleave</v>
      </c>
      <c r="K78" s="53">
        <f>TRUNC(DICEAVG(F78))</f>
        <v>60</v>
      </c>
    </row>
    <row r="79" spans="2:11" ht="18.75">
      <c r="B79" s="49" t="str">
        <f>Stats!B$40</f>
        <v>Rog8</v>
      </c>
      <c r="C79" s="50">
        <f>Stats!C$40</f>
        <v>8</v>
      </c>
      <c r="D79" s="51">
        <f>Stats!D$40</f>
        <v>6</v>
      </c>
      <c r="E79" s="50">
        <f>Stats!E$40</f>
        <v>20</v>
      </c>
      <c r="F79" s="50" t="str">
        <f>Stats!F$40</f>
        <v>8d6+8</v>
      </c>
      <c r="G79" s="50" t="str">
        <f>Stats!G$40</f>
        <v>+3/8/2</v>
      </c>
      <c r="H79" s="50">
        <f>Stats!H$40</f>
        <v>30</v>
      </c>
      <c r="I79" s="41" t="str">
        <f>Stats!I$40</f>
        <v>mace +8 (1d6+2), bow +10 (1d8+2)</v>
      </c>
      <c r="J79" s="52" t="str">
        <f>Stats!J$40</f>
        <v>point blank shot, sk (srch), sneak atk (2d6), imp init, alertness, rapid shot</v>
      </c>
      <c r="K79" s="53">
        <f>TRUNC(DICEAVG(F79))</f>
        <v>36</v>
      </c>
    </row>
    <row r="80" spans="2:11" ht="27.75">
      <c r="B80" s="49" t="str">
        <f>Stats!B$54</f>
        <v>Wiz8</v>
      </c>
      <c r="C80" s="50">
        <f>Stats!C$54</f>
        <v>8</v>
      </c>
      <c r="D80" s="51">
        <f>Stats!D$54</f>
        <v>2</v>
      </c>
      <c r="E80" s="50">
        <f>Stats!E$54</f>
        <v>14</v>
      </c>
      <c r="F80" s="50" t="str">
        <f>Stats!F$54</f>
        <v>8d4+8</v>
      </c>
      <c r="G80" s="50" t="str">
        <f>Stats!G$54</f>
        <v>+6/7/10</v>
      </c>
      <c r="H80" s="50">
        <f>Stats!H$54</f>
        <v>30</v>
      </c>
      <c r="I80" s="41" t="str">
        <f>Stats!I$54</f>
        <v>staff +4 (1d6+0), sling +6 (1d3+0)</v>
      </c>
      <c r="J80" s="52" t="str">
        <f>Stats!J$54</f>
        <v>spells, major scroll, wand of lightning bolt; scribe scroll, sk (heal), craft wand, sk (conc)</v>
      </c>
      <c r="K80" s="53">
        <f>TRUNC(DICEAVG(F80))</f>
        <v>28</v>
      </c>
    </row>
    <row r="81" ht="9.75">
      <c r="K81" s="54">
        <f>SUM(K77:K80)</f>
        <v>176</v>
      </c>
    </row>
    <row r="82" spans="2:10" ht="27.75">
      <c r="B82" s="55" t="str">
        <f>CONCATENATE("Wizard Spells (DC ",10+Abilities!E$16,"+level; cast ",Spells!K$12,"): ",Known!B$22)</f>
        <v>Wizard Spells (DC 12+level; cast 2/4/6/7/6): 4th -- polymorph other; 3rd -- dispel magic, fireball; 2nd -- invisibility, scorching ray, see invisibility; 1st -- magic missile, mage armor, shield, identify, sleep; 0th -- detect magic, read magic, arcane mark, prestidigitation, light, ghost sound, message, resistance</v>
      </c>
      <c r="C82" s="55"/>
      <c r="D82" s="55"/>
      <c r="E82" s="55"/>
      <c r="F82" s="55"/>
      <c r="G82" s="55"/>
      <c r="H82" s="55"/>
      <c r="I82" s="55"/>
      <c r="J82" s="55"/>
    </row>
    <row r="85" spans="2:10" ht="11.25">
      <c r="B85" s="46" t="s">
        <v>96</v>
      </c>
      <c r="C85" s="47"/>
      <c r="D85" s="48"/>
      <c r="E85" s="47"/>
      <c r="F85" s="47"/>
      <c r="G85" s="47"/>
      <c r="H85" s="47"/>
      <c r="I85" s="33"/>
      <c r="J85" s="33"/>
    </row>
    <row r="86" spans="2:11" ht="9.75">
      <c r="B86" s="29" t="s">
        <v>72</v>
      </c>
      <c r="C86" s="30" t="s">
        <v>73</v>
      </c>
      <c r="D86" s="31" t="s">
        <v>74</v>
      </c>
      <c r="E86" s="30" t="s">
        <v>75</v>
      </c>
      <c r="F86" s="30" t="s">
        <v>76</v>
      </c>
      <c r="G86" s="36" t="s">
        <v>77</v>
      </c>
      <c r="H86" s="30" t="s">
        <v>78</v>
      </c>
      <c r="I86" s="32" t="s">
        <v>79</v>
      </c>
      <c r="J86" s="32" t="s">
        <v>80</v>
      </c>
      <c r="K86" s="35" t="s">
        <v>81</v>
      </c>
    </row>
    <row r="87" spans="2:11" ht="27.75">
      <c r="B87" s="49" t="str">
        <f>Stats!B$13</f>
        <v>FtrE9</v>
      </c>
      <c r="C87" s="50">
        <f>Stats!C$13</f>
        <v>9</v>
      </c>
      <c r="D87" s="51">
        <f>Stats!D$13</f>
        <v>2</v>
      </c>
      <c r="E87" s="50">
        <f>Stats!E$13</f>
        <v>25</v>
      </c>
      <c r="F87" s="50" t="str">
        <f>Stats!F$13</f>
        <v>9d10+9</v>
      </c>
      <c r="G87" s="50" t="str">
        <f>Stats!G$13</f>
        <v>+7/5/2</v>
      </c>
      <c r="H87" s="50">
        <f>Stats!H$13</f>
        <v>20</v>
      </c>
      <c r="I87" s="41" t="str">
        <f>Stats!I$13</f>
        <v>longsword +14 (1d8+6), bow +13 (1d8+2)</v>
      </c>
      <c r="J87" s="52" t="str">
        <f>Stats!J$13</f>
        <v>expertise, dodge, mobility, spring atk, whirlwind atk, weapon focus, weapon spec, imp crit, combat reflexes</v>
      </c>
      <c r="K87" s="53">
        <f>TRUNC(DICEAVG(F87))</f>
        <v>58</v>
      </c>
    </row>
    <row r="88" spans="2:11" ht="27.75">
      <c r="B88" s="49" t="str">
        <f>Stats!B$27</f>
        <v>FtrP9</v>
      </c>
      <c r="C88" s="50">
        <f>Stats!C$27</f>
        <v>9</v>
      </c>
      <c r="D88" s="51">
        <f>Stats!D$27</f>
        <v>1</v>
      </c>
      <c r="E88" s="50">
        <f>Stats!E$27</f>
        <v>23</v>
      </c>
      <c r="F88" s="50" t="str">
        <f>Stats!F$27</f>
        <v>9d10+18</v>
      </c>
      <c r="G88" s="50" t="str">
        <f>Stats!G$27</f>
        <v>+8/4/4</v>
      </c>
      <c r="H88" s="50">
        <f>Stats!H$27</f>
        <v>20</v>
      </c>
      <c r="I88" s="41" t="str">
        <f>Stats!I$27</f>
        <v>greataxe +14 (1d12+7), bow +12 (1d8+2)</v>
      </c>
      <c r="J88" s="52" t="str">
        <f>Stats!J$27</f>
        <v>power atk, armor prof (heavy), weapon focus, weapon spec, dodge, imp crit, cleave, great cleave, combat reflexes</v>
      </c>
      <c r="K88" s="53">
        <f>TRUNC(DICEAVG(F88))</f>
        <v>67</v>
      </c>
    </row>
    <row r="89" spans="2:11" ht="27.75">
      <c r="B89" s="49" t="str">
        <f>Stats!B$41</f>
        <v>Rog9</v>
      </c>
      <c r="C89" s="50">
        <f>Stats!C$41</f>
        <v>9</v>
      </c>
      <c r="D89" s="51">
        <f>Stats!D$41</f>
        <v>6</v>
      </c>
      <c r="E89" s="50">
        <f>Stats!E$41</f>
        <v>21</v>
      </c>
      <c r="F89" s="50" t="str">
        <f>Stats!F$41</f>
        <v>9d6+9</v>
      </c>
      <c r="G89" s="50" t="str">
        <f>Stats!G$41</f>
        <v>+4/8/3</v>
      </c>
      <c r="H89" s="50">
        <f>Stats!H$41</f>
        <v>30</v>
      </c>
      <c r="I89" s="41" t="str">
        <f>Stats!I$41</f>
        <v>mace +9 (1d6+3), bow +10 (1d8+2)</v>
      </c>
      <c r="J89" s="52" t="str">
        <f>Stats!J$41</f>
        <v>point blank shot, sk (srch), sneak atk (2d6), imp init, alertness, rapid shot, evasion</v>
      </c>
      <c r="K89" s="53">
        <f>TRUNC(DICEAVG(F89))</f>
        <v>40</v>
      </c>
    </row>
    <row r="90" spans="2:11" ht="27.75">
      <c r="B90" s="49" t="str">
        <f>Stats!B$55</f>
        <v>Wiz9</v>
      </c>
      <c r="C90" s="50">
        <f>Stats!C$55</f>
        <v>9</v>
      </c>
      <c r="D90" s="51">
        <f>Stats!D$55</f>
        <v>2</v>
      </c>
      <c r="E90" s="50">
        <f>Stats!E$55</f>
        <v>17</v>
      </c>
      <c r="F90" s="50" t="str">
        <f>Stats!F$55</f>
        <v>9d4+9</v>
      </c>
      <c r="G90" s="50" t="str">
        <f>Stats!G$55</f>
        <v>+7/8/10</v>
      </c>
      <c r="H90" s="50">
        <f>Stats!H$55</f>
        <v>30</v>
      </c>
      <c r="I90" s="41" t="str">
        <f>Stats!I$55</f>
        <v>staff +4 (1d6+0), sling +6 (1d3+0)</v>
      </c>
      <c r="J90" s="52" t="str">
        <f>Stats!J$55</f>
        <v>spells, major scroll, wand of lightning bolt, bracers +2; scribe scroll, sk (heal), craft wand, sk (conc), craft wondrous item</v>
      </c>
      <c r="K90" s="53">
        <f>TRUNC(DICEAVG(F90))</f>
        <v>31</v>
      </c>
    </row>
    <row r="91" ht="9.75">
      <c r="K91" s="54">
        <f>SUM(K87:K90)</f>
        <v>196</v>
      </c>
    </row>
    <row r="92" spans="2:10" ht="27.75">
      <c r="B92" s="55" t="str">
        <f>CONCATENATE("Wizard Spells (DC ",10+Abilities!E$16,"+level; cast ",Spells!K$13,"): ",Known!B$23)</f>
        <v>Wizard Spells (DC 12+level; cast 3/5/7/7/6): 4th -- polymorph other, stoneskin; 3rd -- dispel magic, fireball, fly; 2nd -- invisibility, scorching ray, see invisibility, mirror image; 1st -- magic missile, mage armor, shield, identify, sleep; 0th -- detect magic, read magic, arcane mark, prestidigitation, light, ghost sound, message, resistance</v>
      </c>
      <c r="C92" s="55"/>
      <c r="D92" s="55"/>
      <c r="E92" s="55"/>
      <c r="F92" s="55"/>
      <c r="G92" s="55"/>
      <c r="H92" s="55"/>
      <c r="I92" s="55"/>
      <c r="J92" s="55"/>
    </row>
    <row r="95" spans="2:10" ht="11.25">
      <c r="B95" s="46" t="s">
        <v>97</v>
      </c>
      <c r="C95" s="47"/>
      <c r="D95" s="48"/>
      <c r="E95" s="47"/>
      <c r="F95" s="47"/>
      <c r="G95" s="47"/>
      <c r="H95" s="47"/>
      <c r="I95" s="33"/>
      <c r="J95" s="33"/>
    </row>
    <row r="96" spans="2:11" ht="9.75">
      <c r="B96" s="29" t="s">
        <v>72</v>
      </c>
      <c r="C96" s="30" t="s">
        <v>73</v>
      </c>
      <c r="D96" s="31" t="s">
        <v>74</v>
      </c>
      <c r="E96" s="30" t="s">
        <v>75</v>
      </c>
      <c r="F96" s="30" t="s">
        <v>76</v>
      </c>
      <c r="G96" s="36" t="s">
        <v>77</v>
      </c>
      <c r="H96" s="30" t="s">
        <v>78</v>
      </c>
      <c r="I96" s="32" t="s">
        <v>79</v>
      </c>
      <c r="J96" s="32" t="s">
        <v>80</v>
      </c>
      <c r="K96" s="35" t="s">
        <v>81</v>
      </c>
    </row>
    <row r="97" spans="2:11" ht="27.75">
      <c r="B97" s="49" t="str">
        <f>Stats!B$14</f>
        <v>FtrE10</v>
      </c>
      <c r="C97" s="50">
        <f>Stats!C$13</f>
        <v>9</v>
      </c>
      <c r="D97" s="51">
        <f>Stats!D$13</f>
        <v>2</v>
      </c>
      <c r="E97" s="50">
        <f>Stats!E$13</f>
        <v>25</v>
      </c>
      <c r="F97" s="50" t="str">
        <f>Stats!F$13</f>
        <v>9d10+9</v>
      </c>
      <c r="G97" s="50" t="str">
        <f>Stats!G$13</f>
        <v>+7/5/2</v>
      </c>
      <c r="H97" s="50">
        <f>Stats!H$13</f>
        <v>20</v>
      </c>
      <c r="I97" s="41" t="str">
        <f>Stats!I$13</f>
        <v>longsword +14 (1d8+6), bow +13 (1d8+2)</v>
      </c>
      <c r="J97" s="52" t="str">
        <f>Stats!J$13</f>
        <v>expertise, dodge, mobility, spring atk, whirlwind atk, weapon focus, weapon spec, imp crit, combat reflexes</v>
      </c>
      <c r="K97" s="53">
        <f>TRUNC(DICEAVG(F97))</f>
        <v>58</v>
      </c>
    </row>
    <row r="98" spans="2:11" ht="27.75">
      <c r="B98" s="49" t="str">
        <f>Stats!B$28</f>
        <v>FtrP10</v>
      </c>
      <c r="C98" s="50">
        <f>Stats!C$27</f>
        <v>9</v>
      </c>
      <c r="D98" s="51">
        <f>Stats!D$27</f>
        <v>1</v>
      </c>
      <c r="E98" s="50">
        <f>Stats!E$27</f>
        <v>23</v>
      </c>
      <c r="F98" s="50" t="str">
        <f>Stats!F$27</f>
        <v>9d10+18</v>
      </c>
      <c r="G98" s="50" t="str">
        <f>Stats!G$27</f>
        <v>+8/4/4</v>
      </c>
      <c r="H98" s="50">
        <f>Stats!H$27</f>
        <v>20</v>
      </c>
      <c r="I98" s="41" t="str">
        <f>Stats!I$27</f>
        <v>greataxe +14 (1d12+7), bow +12 (1d8+2)</v>
      </c>
      <c r="J98" s="52" t="str">
        <f>Stats!J$27</f>
        <v>power atk, armor prof (heavy), weapon focus, weapon spec, dodge, imp crit, cleave, great cleave, combat reflexes</v>
      </c>
      <c r="K98" s="53">
        <f>TRUNC(DICEAVG(F98))</f>
        <v>67</v>
      </c>
    </row>
    <row r="99" spans="2:11" ht="27.75">
      <c r="B99" s="49" t="str">
        <f>Stats!B$42</f>
        <v>Rog10</v>
      </c>
      <c r="C99" s="50">
        <f>Stats!C$41</f>
        <v>9</v>
      </c>
      <c r="D99" s="51">
        <f>Stats!D$41</f>
        <v>6</v>
      </c>
      <c r="E99" s="50">
        <f>Stats!E$41</f>
        <v>21</v>
      </c>
      <c r="F99" s="50" t="str">
        <f>Stats!F$41</f>
        <v>9d6+9</v>
      </c>
      <c r="G99" s="50" t="str">
        <f>Stats!G$41</f>
        <v>+4/8/3</v>
      </c>
      <c r="H99" s="50">
        <f>Stats!H$41</f>
        <v>30</v>
      </c>
      <c r="I99" s="41" t="str">
        <f>Stats!I$41</f>
        <v>mace +9 (1d6+3), bow +10 (1d8+2)</v>
      </c>
      <c r="J99" s="52" t="str">
        <f>Stats!J$41</f>
        <v>point blank shot, sk (srch), sneak atk (2d6), imp init, alertness, rapid shot, evasion</v>
      </c>
      <c r="K99" s="53">
        <f>TRUNC(DICEAVG(F99))</f>
        <v>40</v>
      </c>
    </row>
    <row r="100" spans="2:11" ht="27.75">
      <c r="B100" s="49" t="str">
        <f>Stats!B$56</f>
        <v>Wiz10</v>
      </c>
      <c r="C100" s="50">
        <f>Stats!C$55</f>
        <v>9</v>
      </c>
      <c r="D100" s="51">
        <f>Stats!D$55</f>
        <v>2</v>
      </c>
      <c r="E100" s="50">
        <f>Stats!E$55</f>
        <v>17</v>
      </c>
      <c r="F100" s="50" t="str">
        <f>Stats!F$55</f>
        <v>9d4+9</v>
      </c>
      <c r="G100" s="50" t="str">
        <f>Stats!G$55</f>
        <v>+7/8/10</v>
      </c>
      <c r="H100" s="50">
        <f>Stats!H$55</f>
        <v>30</v>
      </c>
      <c r="I100" s="41" t="str">
        <f>Stats!I$55</f>
        <v>staff +4 (1d6+0), sling +6 (1d3+0)</v>
      </c>
      <c r="J100" s="52" t="str">
        <f>Stats!J$55</f>
        <v>spells, major scroll, wand of lightning bolt, bracers +2; scribe scroll, sk (heal), craft wand, sk (conc), craft wondrous item</v>
      </c>
      <c r="K100" s="53">
        <f>TRUNC(DICEAVG(F100))</f>
        <v>31</v>
      </c>
    </row>
    <row r="101" ht="9.75">
      <c r="K101" s="54">
        <f>SUM(K97:K100)</f>
        <v>196</v>
      </c>
    </row>
    <row r="102" spans="2:10" ht="27.75">
      <c r="B102" s="55" t="str">
        <f>CONCATENATE("Wizard Spells (DC ",10+Abilities!E$16,"+level; cast ",Spells!K$14,"): ",Known!B$24)</f>
        <v>Wizard Spells (DC 12+level; cast 2/4/5/7/7/6): 5th -- teleport; 4th -- polymorph other, stoneskin; 3rd -- dispel magic, fireball, fly; 2nd -- invisibility, scorching ray, see invisibility, mirror image; 1st -- magic missile, mage armor, shield, identify, sleep; 0th -- detect magic, read magic, arcane mark, prestidigitation, light, ghost sound, message, resistance, mage hand</v>
      </c>
      <c r="C102" s="55"/>
      <c r="D102" s="55"/>
      <c r="E102" s="55"/>
      <c r="F102" s="55"/>
      <c r="G102" s="55"/>
      <c r="H102" s="55"/>
      <c r="I102" s="55"/>
      <c r="J102" s="55"/>
    </row>
    <row r="105" spans="2:10" ht="11.25">
      <c r="B105" s="46" t="s">
        <v>98</v>
      </c>
      <c r="C105" s="47"/>
      <c r="D105" s="48"/>
      <c r="E105" s="47"/>
      <c r="F105" s="47"/>
      <c r="G105" s="47"/>
      <c r="H105" s="47"/>
      <c r="I105" s="33"/>
      <c r="J105" s="33"/>
    </row>
    <row r="106" spans="2:11" ht="9.75">
      <c r="B106" s="29" t="s">
        <v>72</v>
      </c>
      <c r="C106" s="30" t="s">
        <v>73</v>
      </c>
      <c r="D106" s="31" t="s">
        <v>74</v>
      </c>
      <c r="E106" s="30" t="s">
        <v>75</v>
      </c>
      <c r="F106" s="30" t="s">
        <v>76</v>
      </c>
      <c r="G106" s="36" t="s">
        <v>77</v>
      </c>
      <c r="H106" s="30" t="s">
        <v>78</v>
      </c>
      <c r="I106" s="32" t="s">
        <v>79</v>
      </c>
      <c r="J106" s="32" t="s">
        <v>80</v>
      </c>
      <c r="K106" s="35" t="s">
        <v>81</v>
      </c>
    </row>
    <row r="107" spans="2:11" ht="36.75">
      <c r="B107" s="49" t="str">
        <f>Stats!B$15</f>
        <v>FtrE11</v>
      </c>
      <c r="C107" s="50">
        <f>Stats!C$15</f>
        <v>11</v>
      </c>
      <c r="D107" s="51">
        <f>Stats!D$15</f>
        <v>2</v>
      </c>
      <c r="E107" s="50">
        <f>Stats!E$15</f>
        <v>26</v>
      </c>
      <c r="F107" s="50" t="str">
        <f>Stats!F$15</f>
        <v>11d10+11</v>
      </c>
      <c r="G107" s="50" t="str">
        <f>Stats!G$15</f>
        <v>+8/5/2</v>
      </c>
      <c r="H107" s="50">
        <f>Stats!H$15</f>
        <v>20</v>
      </c>
      <c r="I107" s="41" t="str">
        <f>Stats!I$15</f>
        <v>longsword +17 (1d8+7), bow +16 (1d8+3)</v>
      </c>
      <c r="J107" s="52" t="str">
        <f>Stats!J$15</f>
        <v>expertise, dodge, mobility, spring atk, whirlwind atk, weapon focus, weapon spec, imp crit, combat reflexes, rapid atk, imp disarm</v>
      </c>
      <c r="K107" s="53">
        <f>TRUNC(DICEAVG(F107))</f>
        <v>71</v>
      </c>
    </row>
    <row r="108" spans="2:11" ht="36.75">
      <c r="B108" s="49" t="str">
        <f>Stats!B$29</f>
        <v>FtrP11</v>
      </c>
      <c r="C108" s="50">
        <f>Stats!C$29</f>
        <v>11</v>
      </c>
      <c r="D108" s="51">
        <f>Stats!D$29</f>
        <v>1</v>
      </c>
      <c r="E108" s="50">
        <f>Stats!E$29</f>
        <v>24</v>
      </c>
      <c r="F108" s="50" t="str">
        <f>Stats!F$29</f>
        <v>11d10+22</v>
      </c>
      <c r="G108" s="50" t="str">
        <f>Stats!G$29</f>
        <v>+9/4/4</v>
      </c>
      <c r="H108" s="50">
        <f>Stats!H$29</f>
        <v>20</v>
      </c>
      <c r="I108" s="41" t="str">
        <f>Stats!I$29</f>
        <v>greataxe +17 (1d12+8), bow +15 (1d8+3)</v>
      </c>
      <c r="J108" s="52" t="str">
        <f>Stats!J$29</f>
        <v>power atk, armor prof (heavy), weapon focus, weapon spec, dodge, imp crit, cleave, great cleave, combat reflexes, rapid atk, point blank shot</v>
      </c>
      <c r="K108" s="53">
        <f>TRUNC(DICEAVG(F108))</f>
        <v>82</v>
      </c>
    </row>
    <row r="109" spans="2:11" ht="27.75">
      <c r="B109" s="49" t="str">
        <f>Stats!B$43</f>
        <v>Rog11</v>
      </c>
      <c r="C109" s="50">
        <f>Stats!C$43</f>
        <v>11</v>
      </c>
      <c r="D109" s="51">
        <f>Stats!D$43</f>
        <v>6</v>
      </c>
      <c r="E109" s="50">
        <f>Stats!E$43</f>
        <v>22</v>
      </c>
      <c r="F109" s="50" t="str">
        <f>Stats!F$43</f>
        <v>11d6+11</v>
      </c>
      <c r="G109" s="50" t="str">
        <f>Stats!G$43</f>
        <v>+4/9/3</v>
      </c>
      <c r="H109" s="50">
        <f>Stats!H$43</f>
        <v>30</v>
      </c>
      <c r="I109" s="41" t="str">
        <f>Stats!I$43</f>
        <v>mace +12 (1d6+4), bow +13 (1d8+3)</v>
      </c>
      <c r="J109" s="52" t="str">
        <f>Stats!J$43</f>
        <v>point blank shot, sk (srch), sneak atk (2d6), imp init, alertness, rapid shot, evasion, sk (ddev), imp sneak atk (5d6)</v>
      </c>
      <c r="K109" s="53">
        <f>TRUNC(DICEAVG(F109))</f>
        <v>49</v>
      </c>
    </row>
    <row r="110" spans="2:11" ht="36.75">
      <c r="B110" s="49" t="str">
        <f>Stats!B$57</f>
        <v>Wiz11</v>
      </c>
      <c r="C110" s="50">
        <f>Stats!C$57</f>
        <v>11</v>
      </c>
      <c r="D110" s="51">
        <f>Stats!D$57</f>
        <v>2</v>
      </c>
      <c r="E110" s="50">
        <f>Stats!E$57</f>
        <v>19</v>
      </c>
      <c r="F110" s="50" t="str">
        <f>Stats!F$57</f>
        <v>11d4+11</v>
      </c>
      <c r="G110" s="50" t="str">
        <f>Stats!G$57</f>
        <v>+8/9/12</v>
      </c>
      <c r="H110" s="50">
        <f>Stats!H$57</f>
        <v>30</v>
      </c>
      <c r="I110" s="41" t="str">
        <f>Stats!I$57</f>
        <v>staff +5 (1d6+0), sling +7 (1d3+0)</v>
      </c>
      <c r="J110" s="52" t="str">
        <f>Stats!J$57</f>
        <v>spells, major scroll, wand of polymorph other, bracers +4; scribe scroll, sk (heal), craft wand, sk (conc), craft wondrous item, forge ring</v>
      </c>
      <c r="K110" s="53">
        <f>TRUNC(DICEAVG(F110))</f>
        <v>38</v>
      </c>
    </row>
    <row r="111" ht="9.75">
      <c r="K111" s="54">
        <f>SUM(K107:K110)</f>
        <v>240</v>
      </c>
    </row>
    <row r="112" spans="2:10" ht="36.75">
      <c r="B112" s="55" t="str">
        <f>CONCATENATE("Wizard Spells (DC ",10+Abilities!E$16,"+level; cast ",Spells!K$15,"): ",Known!B$25)</f>
        <v>Wizard Spells (DC 12+level; cast 3/5/6/7/7/6): 5th -- teleport, wall of force; 4th -- polymorph other, stoneskin, black tentacles; 3rd -- dispel magic, fireball, fly, haste; 2nd -- invisibility, scorching ray, see invisibility, mirror image, alter self; 1st -- magic missile, mage armor, shield, identify, sleep; 0th -- detect magic, read magic, arcane mark, prestidigitation, light, ghost sound, message, resistance, mage hand</v>
      </c>
      <c r="C112" s="55"/>
      <c r="D112" s="55"/>
      <c r="E112" s="55"/>
      <c r="F112" s="55"/>
      <c r="G112" s="55"/>
      <c r="H112" s="55"/>
      <c r="I112" s="55"/>
      <c r="J112" s="55"/>
    </row>
    <row r="115" spans="2:10" ht="11.25">
      <c r="B115" s="46" t="s">
        <v>99</v>
      </c>
      <c r="C115" s="47"/>
      <c r="D115" s="48"/>
      <c r="E115" s="47"/>
      <c r="F115" s="47"/>
      <c r="G115" s="47"/>
      <c r="H115" s="47"/>
      <c r="I115" s="33"/>
      <c r="J115" s="33"/>
    </row>
    <row r="116" spans="2:11" ht="9.75">
      <c r="B116" s="29" t="s">
        <v>72</v>
      </c>
      <c r="C116" s="30" t="s">
        <v>73</v>
      </c>
      <c r="D116" s="31" t="s">
        <v>74</v>
      </c>
      <c r="E116" s="30" t="s">
        <v>75</v>
      </c>
      <c r="F116" s="30" t="s">
        <v>76</v>
      </c>
      <c r="G116" s="36" t="s">
        <v>77</v>
      </c>
      <c r="H116" s="30" t="s">
        <v>78</v>
      </c>
      <c r="I116" s="32" t="s">
        <v>79</v>
      </c>
      <c r="J116" s="32" t="s">
        <v>80</v>
      </c>
      <c r="K116" s="35" t="s">
        <v>81</v>
      </c>
    </row>
    <row r="117" spans="2:11" ht="36.75">
      <c r="B117" s="49" t="str">
        <f>Stats!B$16</f>
        <v>FtrE12</v>
      </c>
      <c r="C117" s="50">
        <f>Stats!C$16</f>
        <v>12</v>
      </c>
      <c r="D117" s="51">
        <f>Stats!D$16</f>
        <v>2</v>
      </c>
      <c r="E117" s="50">
        <f>Stats!E$16</f>
        <v>27</v>
      </c>
      <c r="F117" s="50" t="str">
        <f>Stats!F$16</f>
        <v>12d10+12</v>
      </c>
      <c r="G117" s="50" t="str">
        <f>Stats!G$16</f>
        <v>+9/6/3</v>
      </c>
      <c r="H117" s="50">
        <f>Stats!H$16</f>
        <v>20</v>
      </c>
      <c r="I117" s="41" t="str">
        <f>Stats!I$16</f>
        <v>longsword +19 (1d8+8), bow +17 (1d8+3)</v>
      </c>
      <c r="J117" s="52" t="str">
        <f>Stats!J$16</f>
        <v>expertise, dodge, mobility, spring atk, whirlwind atk, weapon focus, weapon spec, imp crit, combat reflexes, rapid atk, imp disarm, blind-fight</v>
      </c>
      <c r="K117" s="53">
        <f>TRUNC(DICEAVG(F117))</f>
        <v>78</v>
      </c>
    </row>
    <row r="118" spans="2:11" ht="36.75">
      <c r="B118" s="49" t="str">
        <f>Stats!B$30</f>
        <v>FtrP12</v>
      </c>
      <c r="C118" s="50">
        <f>Stats!C$30</f>
        <v>12</v>
      </c>
      <c r="D118" s="51">
        <f>Stats!D$30</f>
        <v>1</v>
      </c>
      <c r="E118" s="50">
        <f>Stats!E$30</f>
        <v>25</v>
      </c>
      <c r="F118" s="50" t="str">
        <f>Stats!F$30</f>
        <v>12d10+24</v>
      </c>
      <c r="G118" s="50" t="str">
        <f>Stats!G$30</f>
        <v>+10/5/5</v>
      </c>
      <c r="H118" s="50">
        <f>Stats!H$30</f>
        <v>20</v>
      </c>
      <c r="I118" s="41" t="str">
        <f>Stats!I$30</f>
        <v>greataxe +19 (1d12+9), bow +16 (1d8+3)</v>
      </c>
      <c r="J118" s="52" t="str">
        <f>Stats!J$30</f>
        <v>power atk, armor prof (heavy), weapon focus, weapon spec, dodge, imp crit, cleave, great cleave, combat reflexes, rapid atk, point blank shot, rapid shot</v>
      </c>
      <c r="K118" s="53">
        <f>TRUNC(DICEAVG(F118))</f>
        <v>90</v>
      </c>
    </row>
    <row r="119" spans="2:11" ht="27.75">
      <c r="B119" s="49" t="str">
        <f>Stats!B$44</f>
        <v>Rog12</v>
      </c>
      <c r="C119" s="50">
        <f>Stats!C$44</f>
        <v>12</v>
      </c>
      <c r="D119" s="51">
        <f>Stats!D$44</f>
        <v>6</v>
      </c>
      <c r="E119" s="50">
        <f>Stats!E$44</f>
        <v>23</v>
      </c>
      <c r="F119" s="50" t="str">
        <f>Stats!F$44</f>
        <v>12d6+12</v>
      </c>
      <c r="G119" s="50" t="str">
        <f>Stats!G$44</f>
        <v>+5/10/4</v>
      </c>
      <c r="H119" s="50">
        <f>Stats!H$44</f>
        <v>30</v>
      </c>
      <c r="I119" s="41" t="str">
        <f>Stats!I$44</f>
        <v>mace +13 (1d6+4), bow +15 (1d8+4)</v>
      </c>
      <c r="J119" s="52" t="str">
        <f>Stats!J$44</f>
        <v>point blank shot, sk (srch), sneak atk (2d6), imp init, alertness, rapid shot, evasion, sk (ddev), imp sneak atk (5d6)</v>
      </c>
      <c r="K119" s="53">
        <f>TRUNC(DICEAVG(F119))</f>
        <v>54</v>
      </c>
    </row>
    <row r="120" spans="2:11" ht="36.75">
      <c r="B120" s="49" t="str">
        <f>Stats!B$58</f>
        <v>Wiz12</v>
      </c>
      <c r="C120" s="50">
        <f>Stats!C$58</f>
        <v>12</v>
      </c>
      <c r="D120" s="51">
        <f>Stats!D$58</f>
        <v>2</v>
      </c>
      <c r="E120" s="50">
        <f>Stats!E$58</f>
        <v>22</v>
      </c>
      <c r="F120" s="50" t="str">
        <f>Stats!F$58</f>
        <v>12d4+12</v>
      </c>
      <c r="G120" s="50" t="str">
        <f>Stats!G$58</f>
        <v>+9/10/13</v>
      </c>
      <c r="H120" s="50">
        <f>Stats!H$58</f>
        <v>30</v>
      </c>
      <c r="I120" s="41" t="str">
        <f>Stats!I$58</f>
        <v>staff +6 (1d6+0), sling +8 (1d3+0)</v>
      </c>
      <c r="J120" s="52" t="str">
        <f>Stats!J$58</f>
        <v>spells, major scroll, wand of polymorph other, bracers +6; scribe scroll, sk (heal), craft wand, sk (conc), craft wondrous item, forge ring</v>
      </c>
      <c r="K120" s="53">
        <f>TRUNC(DICEAVG(F120))</f>
        <v>42</v>
      </c>
    </row>
    <row r="121" ht="9.75">
      <c r="K121" s="54">
        <f>SUM(K117:K120)</f>
        <v>264</v>
      </c>
    </row>
    <row r="122" spans="2:10" ht="36.75">
      <c r="B122" s="55" t="str">
        <f>CONCATENATE("Wizard Spells (DC ",10+Abilities!E$16,"+level; cast ",Spells!K$16,"): ",Known!B$26)</f>
        <v>Wizard Spells (DC 12+level; cast 2/4/5/6/7/7/6): 6th -- greater dispel magic; 5th -- teleport, wall of force; 4th -- polymorph other, stoneskin, black tentacles; 3rd -- dispel magic, fireball, fly, haste; 2nd -- invisibility, scorching ray, see invisibility, mirror image, alter self; 1st -- magic missile, mage armor, shield, identify, sleep; 0th -- detect magic, read magic, arcane mark, prestidigitation, light, ghost sound, message, resistance, mage hand</v>
      </c>
      <c r="C122" s="55"/>
      <c r="D122" s="55"/>
      <c r="E122" s="55"/>
      <c r="F122" s="55"/>
      <c r="G122" s="55"/>
      <c r="H122" s="55"/>
      <c r="I122" s="55"/>
      <c r="J122" s="55"/>
    </row>
  </sheetData>
  <mergeCells count="12">
    <mergeCell ref="B12:J12"/>
    <mergeCell ref="B22:J22"/>
    <mergeCell ref="B32:J32"/>
    <mergeCell ref="B42:J42"/>
    <mergeCell ref="B52:J52"/>
    <mergeCell ref="B62:J62"/>
    <mergeCell ref="B72:J72"/>
    <mergeCell ref="B82:J82"/>
    <mergeCell ref="B92:J92"/>
    <mergeCell ref="B102:J102"/>
    <mergeCell ref="B112:J112"/>
    <mergeCell ref="B122:J122"/>
  </mergeCells>
  <printOptions/>
  <pageMargins left="0.5" right="0.5" top="0.7375" bottom="0.7375" header="0.5" footer="0.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38"/>
  <sheetViews>
    <sheetView workbookViewId="0" topLeftCell="A1">
      <selection activeCell="A1" sqref="A1"/>
    </sheetView>
  </sheetViews>
  <sheetFormatPr defaultColWidth="12.57421875" defaultRowHeight="12.75"/>
  <cols>
    <col min="1" max="1" width="91.57421875" style="57" customWidth="1"/>
    <col min="2" max="16384" width="11.7109375" style="57" customWidth="1"/>
  </cols>
  <sheetData>
    <row r="1" ht="12">
      <c r="A1" s="58" t="s">
        <v>100</v>
      </c>
    </row>
    <row r="3" ht="23.25">
      <c r="A3" s="57" t="s">
        <v>101</v>
      </c>
    </row>
    <row r="4" ht="12">
      <c r="A4" s="57" t="s">
        <v>102</v>
      </c>
    </row>
    <row r="5" ht="236.25">
      <c r="A5" s="57" t="s">
        <v>103</v>
      </c>
    </row>
    <row r="7" ht="45.75">
      <c r="A7" s="57" t="s">
        <v>104</v>
      </c>
    </row>
    <row r="9" ht="12">
      <c r="A9" s="57" t="s">
        <v>105</v>
      </c>
    </row>
    <row r="11" ht="23.25">
      <c r="A11" s="57" t="s">
        <v>106</v>
      </c>
    </row>
    <row r="13" ht="34.5">
      <c r="A13" s="57" t="s">
        <v>107</v>
      </c>
    </row>
    <row r="15" ht="45.75">
      <c r="A15" s="57" t="s">
        <v>108</v>
      </c>
    </row>
    <row r="17" ht="79.5">
      <c r="A17" s="57" t="s">
        <v>109</v>
      </c>
    </row>
    <row r="19" ht="23.25">
      <c r="A19" s="57" t="s">
        <v>110</v>
      </c>
    </row>
    <row r="21" ht="34.5">
      <c r="A21" s="57" t="s">
        <v>111</v>
      </c>
    </row>
    <row r="23" ht="23.25">
      <c r="A23" s="57" t="s">
        <v>112</v>
      </c>
    </row>
    <row r="25" ht="23.25">
      <c r="A25" s="57" t="s">
        <v>113</v>
      </c>
    </row>
    <row r="27" ht="34.5">
      <c r="A27" s="57" t="s">
        <v>114</v>
      </c>
    </row>
    <row r="29" ht="34.5">
      <c r="A29" s="57" t="s">
        <v>115</v>
      </c>
    </row>
    <row r="31" ht="23.25">
      <c r="A31" s="57" t="s">
        <v>116</v>
      </c>
    </row>
    <row r="33" ht="12">
      <c r="A33" s="57" t="s">
        <v>117</v>
      </c>
    </row>
    <row r="34" ht="12">
      <c r="A34" s="57" t="s">
        <v>118</v>
      </c>
    </row>
    <row r="35" ht="23.25">
      <c r="A35" s="57" t="s">
        <v>119</v>
      </c>
    </row>
    <row r="36" ht="23.25">
      <c r="A36" s="59" t="s">
        <v>120</v>
      </c>
    </row>
    <row r="37" ht="12">
      <c r="A37" s="57" t="s">
        <v>121</v>
      </c>
    </row>
    <row r="38" ht="12">
      <c r="A38" s="57" t="s">
        <v>122</v>
      </c>
    </row>
  </sheetData>
  <printOptions/>
  <pageMargins left="0.5" right="0.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 Parties</dc:title>
  <dc:subject>PC Stock Party Statistics</dc:subject>
  <dc:creator/>
  <cp:keywords/>
  <dc:description>For Dan's Diminutive d20 system.</dc:description>
  <cp:lastModifiedBy/>
  <cp:lastPrinted>2008-09-27T18:09:50Z</cp:lastPrinted>
  <dcterms:created xsi:type="dcterms:W3CDTF">2008-09-21T07:14:47Z</dcterms:created>
  <dcterms:modified xsi:type="dcterms:W3CDTF">2008-09-27T18:28:04Z</dcterms:modified>
  <cp:category/>
  <cp:version/>
  <cp:contentType/>
  <cp:contentStatus/>
  <cp:revision>168</cp:revision>
</cp:coreProperties>
</file>